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35" yWindow="75" windowWidth="18315" windowHeight="13440" tabRatio="900"/>
  </bookViews>
  <sheets>
    <sheet name="手順" sheetId="17" r:id="rId1"/>
    <sheet name="【資料1】収支項目" sheetId="19" r:id="rId2"/>
    <sheet name="【資料２】支出費目" sheetId="9" r:id="rId3"/>
    <sheet name="1.入力表" sheetId="5" r:id="rId4"/>
    <sheet name="金銭出納簿" sheetId="18" r:id="rId5"/>
    <sheet name="2.支出明細" sheetId="23" r:id="rId6"/>
    <sheet name="3.別紙1-1（支出明細）" sheetId="3" r:id="rId7"/>
    <sheet name="3.別紙1-1 (金銭出納簿)" sheetId="22" r:id="rId8"/>
    <sheet name="4.別紙1-2" sheetId="4" r:id="rId9"/>
    <sheet name="5.個人配布用" sheetId="16" r:id="rId10"/>
    <sheet name="6.償却資産明細書" sheetId="14" r:id="rId11"/>
    <sheet name="（参考）面積按分率計算ｼｰﾄ" sheetId="6" r:id="rId12"/>
    <sheet name="共同作業日誌" sheetId="36" r:id="rId13"/>
    <sheet name="様式第２号" sheetId="37" r:id="rId14"/>
    <sheet name="別紙１（協定数値）" sheetId="38" r:id="rId15"/>
    <sheet name="別紙２（共同活動実績）" sheetId="27" r:id="rId16"/>
    <sheet name="別紙３　収支決算（３月）" sheetId="24" r:id="rId17"/>
    <sheet name="別紙4（繰越・積立に係る計画）" sheetId="32" r:id="rId18"/>
    <sheet name="体制整備単価報告書" sheetId="25" r:id="rId19"/>
    <sheet name="体制整備単価報告書 (記入例)" sheetId="26" r:id="rId20"/>
    <sheet name="体制整備単価・加算措置活動　活動記録簿" sheetId="33" r:id="rId21"/>
    <sheet name="参考様式１号" sheetId="34" r:id="rId22"/>
    <sheet name="記載例" sheetId="35" r:id="rId23"/>
  </sheets>
  <definedNames>
    <definedName name="_xlnm.Print_Area" localSheetId="6">'3.別紙1-1（支出明細）'!$A$1:$I$39</definedName>
    <definedName name="_xlnm.Print_Titles" localSheetId="8">'4.別紙1-2'!$1:$4</definedName>
    <definedName name="_xlnm.Print_Area" localSheetId="3">'1.入力表'!$B$1:$T$64</definedName>
    <definedName name="_xlnm.Print_Titles" localSheetId="3">'1.入力表'!$17:$18</definedName>
    <definedName name="_xlnm.Print_Area" localSheetId="11">'（参考）面積按分率計算ｼｰﾄ'!$A$1:$K$56</definedName>
    <definedName name="_xlnm.Print_Titles" localSheetId="11">'（参考）面積按分率計算ｼｰﾄ'!$8:$8</definedName>
    <definedName name="_xlnm.Print_Area" localSheetId="10">'6.償却資産明細書'!$A$1:$AS$115</definedName>
    <definedName name="_xlnm.Print_Area" localSheetId="9">'5.個人配布用'!$A$1:$S$40</definedName>
    <definedName name="_xlnm.Print_Area" localSheetId="0">手順!$A$1:$C$37</definedName>
    <definedName name="_xlnm._FilterDatabase" localSheetId="4" hidden="1">金銭出納簿!$A$5:$R$46</definedName>
    <definedName name="_xlnm.Print_Area" localSheetId="4">金銭出納簿!$B:$T</definedName>
    <definedName name="_xlnm.Print_Titles" localSheetId="4">金銭出納簿!$1:$5</definedName>
    <definedName name="_xlnm.Print_Area" localSheetId="7">'3.別紙1-1 (金銭出納簿)'!$A$1:$I$38</definedName>
    <definedName name="_xlnm.Print_Area" localSheetId="5">'2.支出明細'!$A$1:$J$156</definedName>
    <definedName name="_xlnm._FilterDatabase" localSheetId="18" hidden="1">体制整備単価報告書!$A$4:$AK$12</definedName>
    <definedName name="_xlnm.Print_Area" localSheetId="18">体制整備単価報告書!$A$1:$AK$47</definedName>
    <definedName name="_xlnm._FilterDatabase" localSheetId="19" hidden="1">'体制整備単価報告書 (記入例)'!$A$4:$AK$12</definedName>
    <definedName name="_xlnm.Print_Area" localSheetId="19">'体制整備単価報告書 (記入例)'!$A$1:$AK$61</definedName>
    <definedName name="_xlnm.Print_Area" localSheetId="17">'別紙4（繰越・積立に係る計画）'!$A$1:$H$28</definedName>
    <definedName name="_xlnm.Print_Area" localSheetId="20">'体制整備単価・加算措置活動　活動記録簿'!$A$1:$I$30</definedName>
    <definedName name="_xlnm.Print_Area" localSheetId="21">参考様式１号!$B$1:$P$13</definedName>
    <definedName name="_xlnm.Print_Area" localSheetId="22">記載例!$B$2:$P$23</definedName>
    <definedName name="_xlnm.Print_Area" localSheetId="12">共同作業日誌!$A$1:$F$16</definedName>
    <definedName name="_xlnm.Print_Area" localSheetId="13">様式第２号!$A$1:$J$36</definedName>
    <definedName name="_xlnm.Print_Area" localSheetId="14">'別紙１（協定数値）'!$A$1:$E$38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4" authorId="0">
      <text>
        <r>
          <rPr>
            <b/>
            <sz val="9"/>
            <color indexed="81"/>
            <rFont val="MS P ゴシック"/>
          </rPr>
          <t>リストから選択
リストにない項目は選べません</t>
        </r>
      </text>
    </comment>
    <comment ref="H4" authorId="0">
      <text>
        <r>
          <rPr>
            <b/>
            <sz val="9"/>
            <color indexed="81"/>
            <rFont val="MS P ゴシック"/>
          </rPr>
          <t>自動計算です
行挿入・行削除しないこと</t>
        </r>
      </text>
    </comment>
    <comment ref="C5" authorId="0">
      <text>
        <r>
          <rPr>
            <b/>
            <sz val="9"/>
            <color indexed="81"/>
            <rFont val="MS P ゴシック"/>
          </rPr>
          <t>収支報告書に載せる収支はここに〇</t>
        </r>
      </text>
    </comment>
    <comment ref="D5" authorId="0">
      <text>
        <r>
          <rPr>
            <b/>
            <sz val="9"/>
            <color indexed="81"/>
            <rFont val="MS P ゴシック"/>
          </rPr>
          <t>実績報告書に載せる収支はここに〇</t>
        </r>
      </text>
    </comment>
  </commentList>
</comments>
</file>

<file path=xl/comments2.xml><?xml version="1.0" encoding="utf-8"?>
<comments xmlns="http://schemas.openxmlformats.org/spreadsheetml/2006/main">
  <authors>
    <author>安来市役所</author>
  </authors>
  <commentList>
    <comment ref="F2" authorId="0">
      <text>
        <r>
          <rPr>
            <sz val="11"/>
            <color indexed="81"/>
            <rFont val="ＭＳ Ｐゴシック"/>
          </rPr>
          <t>取得した日を半角で入力してください　例）2007/4/1</t>
        </r>
      </text>
    </comment>
    <comment ref="AG2" authorId="0">
      <text>
        <r>
          <rPr>
            <sz val="12"/>
            <color indexed="81"/>
            <rFont val="ＭＳ Ｐゴシック"/>
          </rPr>
          <t>単位は％で入力してください</t>
        </r>
        <r>
          <rPr>
            <sz val="9"/>
            <color indexed="81"/>
            <rFont val="ＭＳ Ｐゴシック"/>
          </rPr>
          <t xml:space="preserve">
</t>
        </r>
      </text>
    </comment>
  </commentList>
</comments>
</file>

<file path=xl/comments3.xml><?xml version="1.0" encoding="utf-8"?>
<comments xmlns="http://schemas.openxmlformats.org/spreadsheetml/2006/main">
  <authors>
    <author>test</author>
  </authors>
  <commentList>
    <comment ref="A3" authorId="0">
      <text>
        <r>
          <rPr>
            <b/>
            <sz val="9"/>
            <color indexed="81"/>
            <rFont val="ＭＳ Ｐゴシック"/>
          </rPr>
          <t>加算措置の取組みを選択</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<sst xmlns="http://schemas.openxmlformats.org/spreadsheetml/2006/main" xmlns:r="http://schemas.openxmlformats.org/officeDocument/2006/relationships" count="899" uniqueCount="899">
  <si>
    <t>役員手当　　出役賃金等</t>
    <rPh sb="0" eb="2">
      <t>ヤクイン</t>
    </rPh>
    <rPh sb="2" eb="4">
      <t>テア</t>
    </rPh>
    <rPh sb="6" eb="7">
      <t>デ</t>
    </rPh>
    <rPh sb="7" eb="8">
      <t>エキ</t>
    </rPh>
    <rPh sb="8" eb="10">
      <t>チンギン</t>
    </rPh>
    <rPh sb="10" eb="11">
      <t>トウ</t>
    </rPh>
    <phoneticPr fontId="5"/>
  </si>
  <si>
    <t>１月１日以降の収入・支出を分類した支出項目をもとに入力。</t>
    <rPh sb="1" eb="2">
      <t>ガツ</t>
    </rPh>
    <rPh sb="3" eb="4">
      <t>ニチ</t>
    </rPh>
    <rPh sb="4" eb="6">
      <t>イコウ</t>
    </rPh>
    <rPh sb="7" eb="9">
      <t>シュウニュウ</t>
    </rPh>
    <rPh sb="10" eb="12">
      <t>シシュツ</t>
    </rPh>
    <rPh sb="13" eb="15">
      <t>ブンルイ</t>
    </rPh>
    <rPh sb="17" eb="19">
      <t>シシュツ</t>
    </rPh>
    <rPh sb="19" eb="21">
      <t>コウモク</t>
    </rPh>
    <rPh sb="25" eb="27">
      <t>ニュウリョク</t>
    </rPh>
    <phoneticPr fontId="5"/>
  </si>
  <si>
    <t>令和５年度</t>
    <rPh sb="0" eb="2">
      <t>レイワ</t>
    </rPh>
    <rPh sb="3" eb="5">
      <t>ネンド</t>
    </rPh>
    <phoneticPr fontId="5"/>
  </si>
  <si>
    <t>電話、ファックス、インターネット使用料等</t>
    <rPh sb="0" eb="2">
      <t>デンワ</t>
    </rPh>
    <rPh sb="16" eb="19">
      <t>シヨウリョウ</t>
    </rPh>
    <rPh sb="19" eb="20">
      <t>トウ</t>
    </rPh>
    <phoneticPr fontId="5"/>
  </si>
  <si>
    <t>支出明細、別紙１－１、別紙1-2をプリントアウトし、別紙1-1に押印してください。</t>
    <rPh sb="0" eb="2">
      <t>シシュツ</t>
    </rPh>
    <rPh sb="2" eb="4">
      <t>メイサイ</t>
    </rPh>
    <rPh sb="5" eb="7">
      <t>ベッシ</t>
    </rPh>
    <rPh sb="11" eb="13">
      <t>ベッシ</t>
    </rPh>
    <rPh sb="26" eb="28">
      <t>ベッシ</t>
    </rPh>
    <rPh sb="32" eb="34">
      <t>オウイン</t>
    </rPh>
    <phoneticPr fontId="5"/>
  </si>
  <si>
    <t>　　　　通常　の場合「協定参加者で均等に按分」</t>
    <rPh sb="4" eb="6">
      <t>ツウジョウ</t>
    </rPh>
    <rPh sb="8" eb="10">
      <t>バアイ</t>
    </rPh>
    <rPh sb="20" eb="22">
      <t>アンブン</t>
    </rPh>
    <phoneticPr fontId="5"/>
  </si>
  <si>
    <t>390</t>
  </si>
  <si>
    <t>平型乾燥機</t>
  </si>
  <si>
    <t>　　　「耕地面積により配分」　</t>
    <rPh sb="4" eb="6">
      <t>コウチ</t>
    </rPh>
    <rPh sb="6" eb="8">
      <t>メンセキ</t>
    </rPh>
    <rPh sb="11" eb="13">
      <t>ハイブン</t>
    </rPh>
    <phoneticPr fontId="5"/>
  </si>
  <si>
    <t>③</t>
  </si>
  <si>
    <t>(2)集落協定広域化加算</t>
  </si>
  <si>
    <t>畦ぬり機</t>
  </si>
  <si>
    <t>　　　「個人配分しない」　通常この３つのうちの何れか。</t>
    <rPh sb="4" eb="6">
      <t>コジン</t>
    </rPh>
    <rPh sb="6" eb="8">
      <t>ハイブン</t>
    </rPh>
    <rPh sb="13" eb="15">
      <t>ツウジョウ</t>
    </rPh>
    <rPh sb="23" eb="24">
      <t>イズ</t>
    </rPh>
    <phoneticPr fontId="5"/>
  </si>
  <si>
    <t>加算措置取組</t>
    <rPh sb="0" eb="2">
      <t>カサン</t>
    </rPh>
    <rPh sb="2" eb="4">
      <t>ソチ</t>
    </rPh>
    <rPh sb="4" eb="6">
      <t>トリク</t>
    </rPh>
    <phoneticPr fontId="5"/>
  </si>
  <si>
    <t>　　　「協定参加者で均等に按分」の何れか。</t>
    <rPh sb="4" eb="6">
      <t>キョウテイ</t>
    </rPh>
    <rPh sb="6" eb="9">
      <t>サンカシャ</t>
    </rPh>
    <rPh sb="10" eb="12">
      <t>キントウ</t>
    </rPh>
    <rPh sb="13" eb="15">
      <t>アンブン</t>
    </rPh>
    <rPh sb="17" eb="18">
      <t>イズ</t>
    </rPh>
    <phoneticPr fontId="5"/>
  </si>
  <si>
    <t>　　　「協定参加者で均等に配分」</t>
    <rPh sb="4" eb="6">
      <t>キョウテイ</t>
    </rPh>
    <rPh sb="6" eb="9">
      <t>サンカシャ</t>
    </rPh>
    <rPh sb="10" eb="12">
      <t>キントウ</t>
    </rPh>
    <rPh sb="13" eb="15">
      <t>ハイブン</t>
    </rPh>
    <phoneticPr fontId="5"/>
  </si>
  <si>
    <t>過年残（積立）額計</t>
    <rPh sb="0" eb="1">
      <t>ス</t>
    </rPh>
    <rPh sb="1" eb="2">
      <t>ネン</t>
    </rPh>
    <rPh sb="2" eb="3">
      <t>ザン</t>
    </rPh>
    <rPh sb="4" eb="5">
      <t>ツ</t>
    </rPh>
    <rPh sb="5" eb="6">
      <t>タ</t>
    </rPh>
    <rPh sb="7" eb="8">
      <t>ガク</t>
    </rPh>
    <rPh sb="8" eb="9">
      <t>ケイ</t>
    </rPh>
    <phoneticPr fontId="5"/>
  </si>
  <si>
    <t>具体的な内容</t>
  </si>
  <si>
    <t>　　　「耕地面積により按分」　</t>
    <rPh sb="4" eb="6">
      <t>コウチ</t>
    </rPh>
    <rPh sb="6" eb="8">
      <t>メンセキ</t>
    </rPh>
    <rPh sb="11" eb="13">
      <t>アンブン</t>
    </rPh>
    <phoneticPr fontId="5"/>
  </si>
  <si>
    <t>作業場等（木造モルタル）</t>
  </si>
  <si>
    <t>こんにゃく送料（大阪市)</t>
    <rPh sb="5" eb="7">
      <t>ソウリョウ</t>
    </rPh>
    <rPh sb="8" eb="10">
      <t>オオサカ</t>
    </rPh>
    <rPh sb="10" eb="11">
      <t>シ</t>
    </rPh>
    <phoneticPr fontId="89"/>
  </si>
  <si>
    <t>減価償却費</t>
    <rPh sb="0" eb="1">
      <t>ゲン</t>
    </rPh>
    <rPh sb="1" eb="2">
      <t>アタイ</t>
    </rPh>
    <rPh sb="2" eb="4">
      <t>ショウキャク</t>
    </rPh>
    <rPh sb="4" eb="5">
      <t>ヒ</t>
    </rPh>
    <phoneticPr fontId="5"/>
  </si>
  <si>
    <t>（株）○○農機</t>
    <rPh sb="0" eb="3">
      <t>カブ</t>
    </rPh>
    <rPh sb="5" eb="7">
      <t>ノウキ</t>
    </rPh>
    <phoneticPr fontId="5"/>
  </si>
  <si>
    <t>農業用の建物施設、農機具等の修理代、軽トラックの車検代</t>
  </si>
  <si>
    <t>その他</t>
    <rPh sb="2" eb="3">
      <t>タ</t>
    </rPh>
    <phoneticPr fontId="5"/>
  </si>
  <si>
    <t>茶菓代</t>
    <rPh sb="0" eb="2">
      <t>チャカ</t>
    </rPh>
    <rPh sb="2" eb="3">
      <t>ダイ</t>
    </rPh>
    <phoneticPr fontId="5"/>
  </si>
  <si>
    <t>→</t>
  </si>
  <si>
    <t>役員報酬</t>
    <rPh sb="0" eb="2">
      <t>ヤクイン</t>
    </rPh>
    <rPh sb="2" eb="4">
      <t>ホウシュウ</t>
    </rPh>
    <phoneticPr fontId="5"/>
  </si>
  <si>
    <t>費　　　目</t>
    <rPh sb="0" eb="1">
      <t>ヒ</t>
    </rPh>
    <rPh sb="4" eb="5">
      <t>メ</t>
    </rPh>
    <phoneticPr fontId="5"/>
  </si>
  <si>
    <t>安来太郎所有格納庫
（安来市○○町４５６）</t>
    <rPh sb="0" eb="2">
      <t>ヤスギ</t>
    </rPh>
    <rPh sb="2" eb="4">
      <t>タロウ</t>
    </rPh>
    <rPh sb="4" eb="6">
      <t>ショユウ</t>
    </rPh>
    <rPh sb="6" eb="9">
      <t>カクノウコ</t>
    </rPh>
    <rPh sb="11" eb="14">
      <t>ヤスギシ</t>
    </rPh>
    <rPh sb="16" eb="17">
      <t>チョウ</t>
    </rPh>
    <phoneticPr fontId="5"/>
  </si>
  <si>
    <t>備　　考</t>
    <rPh sb="0" eb="1">
      <t>ビ</t>
    </rPh>
    <rPh sb="3" eb="4">
      <t>コウ</t>
    </rPh>
    <phoneticPr fontId="5"/>
  </si>
  <si>
    <t>支出金額(円）</t>
    <rPh sb="0" eb="2">
      <t>シシュツ</t>
    </rPh>
    <rPh sb="2" eb="4">
      <t>キンガク</t>
    </rPh>
    <rPh sb="5" eb="6">
      <t>エン</t>
    </rPh>
    <phoneticPr fontId="5"/>
  </si>
  <si>
    <t>（課税対象額）</t>
    <rPh sb="1" eb="3">
      <t>カゼイ</t>
    </rPh>
    <rPh sb="3" eb="5">
      <t>タイショウ</t>
    </rPh>
    <rPh sb="5" eb="6">
      <t>ガク</t>
    </rPh>
    <phoneticPr fontId="5"/>
  </si>
  <si>
    <t>農業共済掛金</t>
    <rPh sb="0" eb="2">
      <t>ノウギョウ</t>
    </rPh>
    <rPh sb="2" eb="4">
      <t>キョウサイ</t>
    </rPh>
    <rPh sb="4" eb="5">
      <t>カ</t>
    </rPh>
    <rPh sb="5" eb="6">
      <t>キン</t>
    </rPh>
    <phoneticPr fontId="5"/>
  </si>
  <si>
    <t>集落</t>
    <rPh sb="0" eb="2">
      <t>シュウラク</t>
    </rPh>
    <phoneticPr fontId="5"/>
  </si>
  <si>
    <t>費目コード</t>
    <rPh sb="0" eb="2">
      <t>ヒモク</t>
    </rPh>
    <phoneticPr fontId="5"/>
  </si>
  <si>
    <t>723</t>
  </si>
  <si>
    <t>「1.入力表」シートを入力（白い部分に入力してください）</t>
    <rPh sb="3" eb="5">
      <t>ニュウリョク</t>
    </rPh>
    <rPh sb="5" eb="6">
      <t>ヒョウ</t>
    </rPh>
    <rPh sb="11" eb="13">
      <t>ニュウリョク</t>
    </rPh>
    <rPh sb="14" eb="15">
      <t>シロ</t>
    </rPh>
    <rPh sb="16" eb="18">
      <t>ブブン</t>
    </rPh>
    <rPh sb="19" eb="21">
      <t>ニュウリョク</t>
    </rPh>
    <phoneticPr fontId="5"/>
  </si>
  <si>
    <t>(4)生産性向上加算</t>
  </si>
  <si>
    <t>残（積立）額</t>
    <rPh sb="0" eb="1">
      <t>ザン</t>
    </rPh>
    <rPh sb="2" eb="3">
      <t>ツ</t>
    </rPh>
    <rPh sb="3" eb="4">
      <t>タ</t>
    </rPh>
    <rPh sb="5" eb="6">
      <t>ガク</t>
    </rPh>
    <phoneticPr fontId="5"/>
  </si>
  <si>
    <t>金額（円）</t>
  </si>
  <si>
    <t>B.研修会費</t>
    <rPh sb="2" eb="4">
      <t>ケンシュウ</t>
    </rPh>
    <rPh sb="4" eb="6">
      <t>カイヒ</t>
    </rPh>
    <phoneticPr fontId="5"/>
  </si>
  <si>
    <t>水分測定機</t>
  </si>
  <si>
    <t>合計.E</t>
    <rPh sb="0" eb="2">
      <t>ゴウケイ</t>
    </rPh>
    <phoneticPr fontId="5"/>
  </si>
  <si>
    <t>選別(計量）機</t>
  </si>
  <si>
    <t>非農業者</t>
    <rPh sb="0" eb="1">
      <t>ヒ</t>
    </rPh>
    <rPh sb="1" eb="4">
      <t>ノウギョウシャ</t>
    </rPh>
    <phoneticPr fontId="5"/>
  </si>
  <si>
    <t>作業内容</t>
    <rPh sb="0" eb="2">
      <t>サギョウ</t>
    </rPh>
    <rPh sb="2" eb="4">
      <t>ナイヨウ</t>
    </rPh>
    <phoneticPr fontId="5"/>
  </si>
  <si>
    <t>1　交付金に係る配分額及び共同取り組み活動の支出額</t>
    <rPh sb="2" eb="5">
      <t>コウフキン</t>
    </rPh>
    <rPh sb="6" eb="7">
      <t>カカ</t>
    </rPh>
    <rPh sb="8" eb="10">
      <t>ハイブン</t>
    </rPh>
    <rPh sb="10" eb="11">
      <t>ガク</t>
    </rPh>
    <rPh sb="11" eb="12">
      <t>オヨ</t>
    </rPh>
    <rPh sb="13" eb="15">
      <t>キョウドウ</t>
    </rPh>
    <rPh sb="15" eb="16">
      <t>ト</t>
    </rPh>
    <rPh sb="17" eb="18">
      <t>ク</t>
    </rPh>
    <rPh sb="19" eb="21">
      <t>カツドウ</t>
    </rPh>
    <rPh sb="22" eb="24">
      <t>シシュツ</t>
    </rPh>
    <rPh sb="24" eb="25">
      <t>ガク</t>
    </rPh>
    <phoneticPr fontId="5"/>
  </si>
  <si>
    <t>４月、６月、９月述べ40人×＠3,000</t>
  </si>
  <si>
    <t>減価償却費の参入額</t>
  </si>
  <si>
    <t>集落名</t>
    <rPh sb="0" eb="2">
      <t>シュウラク</t>
    </rPh>
    <rPh sb="2" eb="3">
      <t>メイ</t>
    </rPh>
    <phoneticPr fontId="5"/>
  </si>
  <si>
    <t>合計.A</t>
    <rPh sb="0" eb="2">
      <t>ゴウケイ</t>
    </rPh>
    <phoneticPr fontId="5"/>
  </si>
  <si>
    <t>比婆山　茶太郎</t>
    <rPh sb="0" eb="3">
      <t>ヒバヤマ</t>
    </rPh>
    <rPh sb="4" eb="5">
      <t>チャ</t>
    </rPh>
    <rPh sb="5" eb="7">
      <t>タロウ</t>
    </rPh>
    <phoneticPr fontId="90"/>
  </si>
  <si>
    <t>合計.G</t>
    <rPh sb="0" eb="2">
      <t>ゴウケイ</t>
    </rPh>
    <phoneticPr fontId="5"/>
  </si>
  <si>
    <t>220</t>
  </si>
  <si>
    <t>合計.B</t>
    <rPh sb="0" eb="2">
      <t>ゴウケイ</t>
    </rPh>
    <phoneticPr fontId="5"/>
  </si>
  <si>
    <t>/100</t>
  </si>
  <si>
    <t>配　分　等　の　基　礎</t>
    <rPh sb="0" eb="1">
      <t>クバ</t>
    </rPh>
    <rPh sb="2" eb="3">
      <t>ブン</t>
    </rPh>
    <rPh sb="4" eb="5">
      <t>トウ</t>
    </rPh>
    <rPh sb="8" eb="9">
      <t>モト</t>
    </rPh>
    <rPh sb="10" eb="11">
      <t>イシズエ</t>
    </rPh>
    <phoneticPr fontId="5"/>
  </si>
  <si>
    <t>合計.F</t>
    <rPh sb="0" eb="2">
      <t>ゴウケイ</t>
    </rPh>
    <phoneticPr fontId="5"/>
  </si>
  <si>
    <t>収　　　入</t>
    <rPh sb="0" eb="1">
      <t>オサム</t>
    </rPh>
    <rPh sb="4" eb="5">
      <t>イ</t>
    </rPh>
    <phoneticPr fontId="5"/>
  </si>
  <si>
    <r>
      <t xml:space="preserve">
</t>
    </r>
    <r>
      <rPr>
        <sz val="12"/>
        <color auto="1"/>
        <rFont val="ＭＳ 明朝"/>
      </rPr>
      <t>※償却資産とは大型の農機具や建物のことで、取得価格が10万円以上のもの。ただし、集落共同で購入する場合は、取得価格を協定参加者数で割った額が10万円以下なら減価償却する必要はなく、農具費等で一括して費用計上出来ます。</t>
    </r>
    <rPh sb="2" eb="4">
      <t>ショウキャク</t>
    </rPh>
    <rPh sb="4" eb="6">
      <t>シサン</t>
    </rPh>
    <rPh sb="8" eb="10">
      <t>オオガタ</t>
    </rPh>
    <rPh sb="11" eb="14">
      <t>ノウキグ</t>
    </rPh>
    <rPh sb="15" eb="17">
      <t>タテモノ</t>
    </rPh>
    <rPh sb="22" eb="24">
      <t>シュトク</t>
    </rPh>
    <rPh sb="24" eb="26">
      <t>カカク</t>
    </rPh>
    <rPh sb="29" eb="31">
      <t>マンエン</t>
    </rPh>
    <rPh sb="31" eb="33">
      <t>イジョウ</t>
    </rPh>
    <rPh sb="41" eb="43">
      <t>シュウラク</t>
    </rPh>
    <rPh sb="43" eb="45">
      <t>キョウドウ</t>
    </rPh>
    <rPh sb="46" eb="48">
      <t>コウニュウ</t>
    </rPh>
    <rPh sb="50" eb="52">
      <t>バアイ</t>
    </rPh>
    <rPh sb="54" eb="56">
      <t>シュトク</t>
    </rPh>
    <rPh sb="56" eb="58">
      <t>カカク</t>
    </rPh>
    <rPh sb="64" eb="65">
      <t>スウ</t>
    </rPh>
    <rPh sb="66" eb="67">
      <t>ワ</t>
    </rPh>
    <rPh sb="69" eb="70">
      <t>ガク</t>
    </rPh>
    <rPh sb="73" eb="74">
      <t>マン</t>
    </rPh>
    <rPh sb="74" eb="75">
      <t>エン</t>
    </rPh>
    <rPh sb="75" eb="77">
      <t>イカ</t>
    </rPh>
    <rPh sb="79" eb="81">
      <t>ゲンカ</t>
    </rPh>
    <rPh sb="81" eb="83">
      <t>ショウキャク</t>
    </rPh>
    <rPh sb="85" eb="87">
      <t>ヒツヨウ</t>
    </rPh>
    <rPh sb="91" eb="93">
      <t>ノウグ</t>
    </rPh>
    <rPh sb="93" eb="94">
      <t>ヒ</t>
    </rPh>
    <rPh sb="94" eb="95">
      <t>トウ</t>
    </rPh>
    <rPh sb="96" eb="98">
      <t>イッカツ</t>
    </rPh>
    <rPh sb="100" eb="102">
      <t>ヒヨウ</t>
    </rPh>
    <rPh sb="102" eb="104">
      <t>ケイジョウ</t>
    </rPh>
    <rPh sb="104" eb="106">
      <t>デキ</t>
    </rPh>
    <phoneticPr fontId="5"/>
  </si>
  <si>
    <t>修繕費</t>
    <rPh sb="0" eb="3">
      <t>シュウゼンヒ</t>
    </rPh>
    <phoneticPr fontId="5"/>
  </si>
  <si>
    <t>超急傾斜農地の保全</t>
    <rPh sb="0" eb="1">
      <t>チョウ</t>
    </rPh>
    <rPh sb="1" eb="4">
      <t>キュウケイシャ</t>
    </rPh>
    <rPh sb="4" eb="6">
      <t>ノウチ</t>
    </rPh>
    <rPh sb="7" eb="9">
      <t>ホゼン</t>
    </rPh>
    <phoneticPr fontId="5"/>
  </si>
  <si>
    <t>動力光熱費</t>
    <rPh sb="0" eb="2">
      <t>ドウリョク</t>
    </rPh>
    <rPh sb="2" eb="5">
      <t>コウネツヒ</t>
    </rPh>
    <phoneticPr fontId="5"/>
  </si>
  <si>
    <t>貸倒金</t>
    <rPh sb="0" eb="3">
      <t>カシダオレキン</t>
    </rPh>
    <phoneticPr fontId="5"/>
  </si>
  <si>
    <t>R6年度概算払</t>
  </si>
  <si>
    <t>堆肥散布機等</t>
  </si>
  <si>
    <t>農具費</t>
    <rPh sb="0" eb="2">
      <t>ノウグ</t>
    </rPh>
    <rPh sb="2" eb="3">
      <t>ヒ</t>
    </rPh>
    <phoneticPr fontId="5"/>
  </si>
  <si>
    <t>下記（別表）のとおり</t>
    <rPh sb="0" eb="2">
      <t>カキ</t>
    </rPh>
    <rPh sb="3" eb="5">
      <t>ベッピョウ</t>
    </rPh>
    <phoneticPr fontId="5"/>
  </si>
  <si>
    <t>※氏名欄に名前があるときは必ず按分欄に数字を入力すること。按分0の場合は分子に〝0〟を入力</t>
    <rPh sb="1" eb="2">
      <t>シ</t>
    </rPh>
    <rPh sb="2" eb="3">
      <t>メイ</t>
    </rPh>
    <rPh sb="3" eb="4">
      <t>ラン</t>
    </rPh>
    <rPh sb="5" eb="7">
      <t>ナマエ</t>
    </rPh>
    <rPh sb="13" eb="14">
      <t>カナラ</t>
    </rPh>
    <rPh sb="15" eb="17">
      <t>アンブン</t>
    </rPh>
    <rPh sb="17" eb="18">
      <t>ラン</t>
    </rPh>
    <rPh sb="19" eb="21">
      <t>スウジ</t>
    </rPh>
    <rPh sb="22" eb="24">
      <t>ニュウリョク</t>
    </rPh>
    <rPh sb="29" eb="31">
      <t>アンブン</t>
    </rPh>
    <rPh sb="33" eb="35">
      <t>バアイ</t>
    </rPh>
    <rPh sb="36" eb="38">
      <t>ブンシ</t>
    </rPh>
    <rPh sb="43" eb="45">
      <t>ニュウリョク</t>
    </rPh>
    <phoneticPr fontId="5"/>
  </si>
  <si>
    <t>イ.経費外支出</t>
    <rPh sb="2" eb="4">
      <t>ケイヒ</t>
    </rPh>
    <rPh sb="4" eb="5">
      <t>ガイ</t>
    </rPh>
    <rPh sb="5" eb="7">
      <t>シシュツ</t>
    </rPh>
    <phoneticPr fontId="5"/>
  </si>
  <si>
    <t>農薬衛生費</t>
    <rPh sb="0" eb="2">
      <t>ノウヤク</t>
    </rPh>
    <rPh sb="2" eb="5">
      <t>エイセイヒ</t>
    </rPh>
    <phoneticPr fontId="5"/>
  </si>
  <si>
    <t>加算措置の取組み</t>
    <rPh sb="0" eb="2">
      <t>カサン</t>
    </rPh>
    <rPh sb="2" eb="4">
      <t>ソチ</t>
    </rPh>
    <rPh sb="5" eb="7">
      <t>トリク</t>
    </rPh>
    <phoneticPr fontId="5"/>
  </si>
  <si>
    <t>印</t>
    <rPh sb="0" eb="1">
      <t>イン</t>
    </rPh>
    <phoneticPr fontId="5"/>
  </si>
  <si>
    <t>１５年償却資産</t>
  </si>
  <si>
    <t>前年度繰越金</t>
    <rPh sb="0" eb="3">
      <t>ゼンネンド</t>
    </rPh>
    <rPh sb="3" eb="5">
      <t>クリコシ</t>
    </rPh>
    <rPh sb="5" eb="6">
      <t>キン</t>
    </rPh>
    <phoneticPr fontId="5"/>
  </si>
  <si>
    <t>集落協定の中心となる農業者の確保</t>
    <rPh sb="0" eb="2">
      <t>シュウラク</t>
    </rPh>
    <rPh sb="2" eb="4">
      <t>キョウテイ</t>
    </rPh>
    <rPh sb="5" eb="7">
      <t>チュウシン</t>
    </rPh>
    <rPh sb="10" eb="13">
      <t>ノウギョウシャ</t>
    </rPh>
    <rPh sb="14" eb="16">
      <t>カクホ</t>
    </rPh>
    <phoneticPr fontId="5"/>
  </si>
  <si>
    <t>支出</t>
  </si>
  <si>
    <t>農薬衛生費</t>
    <rPh sb="0" eb="2">
      <t>ノウヤク</t>
    </rPh>
    <rPh sb="2" eb="4">
      <t>エイセイ</t>
    </rPh>
    <rPh sb="4" eb="5">
      <t>ヒ</t>
    </rPh>
    <phoneticPr fontId="5"/>
  </si>
  <si>
    <t>F.共同利用機械購入等費</t>
    <rPh sb="2" eb="4">
      <t>キョウドウ</t>
    </rPh>
    <rPh sb="4" eb="6">
      <t>リヨウ</t>
    </rPh>
    <rPh sb="6" eb="8">
      <t>キカイ</t>
    </rPh>
    <rPh sb="8" eb="11">
      <t>コウニュウナド</t>
    </rPh>
    <rPh sb="11" eb="12">
      <t>ヒ</t>
    </rPh>
    <phoneticPr fontId="5"/>
  </si>
  <si>
    <t>飼料費</t>
    <rPh sb="0" eb="2">
      <t>シリョウ</t>
    </rPh>
    <rPh sb="2" eb="3">
      <t>ヒ</t>
    </rPh>
    <phoneticPr fontId="5"/>
  </si>
  <si>
    <t>通信費</t>
    <rPh sb="0" eb="2">
      <t>ツウシン</t>
    </rPh>
    <rPh sb="2" eb="3">
      <t>ヒ</t>
    </rPh>
    <phoneticPr fontId="5"/>
  </si>
  <si>
    <t>租税公課</t>
    <rPh sb="0" eb="2">
      <t>ソゼイ</t>
    </rPh>
    <rPh sb="2" eb="4">
      <t>コウカ</t>
    </rPh>
    <phoneticPr fontId="5"/>
  </si>
  <si>
    <t>代表者氏名</t>
    <rPh sb="0" eb="3">
      <t>ダイヒョウシャ</t>
    </rPh>
    <rPh sb="3" eb="5">
      <t>シメイ</t>
    </rPh>
    <phoneticPr fontId="5"/>
  </si>
  <si>
    <t>⑤</t>
  </si>
  <si>
    <t>多面的機能増進活動費</t>
    <rPh sb="0" eb="3">
      <t>タメンテキ</t>
    </rPh>
    <rPh sb="3" eb="5">
      <t>キノウ</t>
    </rPh>
    <rPh sb="5" eb="7">
      <t>ゾウシン</t>
    </rPh>
    <rPh sb="7" eb="9">
      <t>カツドウ</t>
    </rPh>
    <rPh sb="9" eb="10">
      <t>ヒ</t>
    </rPh>
    <phoneticPr fontId="5"/>
  </si>
  <si>
    <t>取得価格</t>
    <rPh sb="0" eb="2">
      <t>シュトク</t>
    </rPh>
    <rPh sb="2" eb="4">
      <t>カカク</t>
    </rPh>
    <phoneticPr fontId="5"/>
  </si>
  <si>
    <t>合計.H</t>
    <rPh sb="0" eb="2">
      <t>ゴウケイ</t>
    </rPh>
    <phoneticPr fontId="5"/>
  </si>
  <si>
    <t>オペレーター賃金</t>
    <rPh sb="6" eb="8">
      <t>チンギン</t>
    </rPh>
    <phoneticPr fontId="5"/>
  </si>
  <si>
    <t>　必要経費</t>
    <rPh sb="1" eb="3">
      <t>ヒツヨウ</t>
    </rPh>
    <rPh sb="3" eb="5">
      <t>ケイヒ</t>
    </rPh>
    <phoneticPr fontId="5"/>
  </si>
  <si>
    <t>⑧（=③-⑦）</t>
  </si>
  <si>
    <t>過不足</t>
    <rPh sb="0" eb="3">
      <t>カフソク</t>
    </rPh>
    <phoneticPr fontId="5"/>
  </si>
  <si>
    <t>７年償却資産</t>
  </si>
  <si>
    <t>総支出額</t>
    <rPh sb="0" eb="3">
      <t>ソウシシュツ</t>
    </rPh>
    <rPh sb="3" eb="4">
      <t>ガク</t>
    </rPh>
    <phoneticPr fontId="5"/>
  </si>
  <si>
    <t>円</t>
    <rPh sb="0" eb="1">
      <t>エン</t>
    </rPh>
    <phoneticPr fontId="5"/>
  </si>
  <si>
    <t>R6年度概算払</t>
    <rPh sb="2" eb="4">
      <t>ネンド</t>
    </rPh>
    <rPh sb="4" eb="6">
      <t>ガイサン</t>
    </rPh>
    <rPh sb="6" eb="7">
      <t>バラ</t>
    </rPh>
    <phoneticPr fontId="5"/>
  </si>
  <si>
    <t>●水路の共同草刈・清掃</t>
  </si>
  <si>
    <t xml:space="preserve"> 農業必要経費</t>
    <rPh sb="1" eb="3">
      <t>ノウギョウ</t>
    </rPh>
    <rPh sb="3" eb="5">
      <t>ヒツヨウ</t>
    </rPh>
    <rPh sb="5" eb="7">
      <t>ケイヒ</t>
    </rPh>
    <phoneticPr fontId="5"/>
  </si>
  <si>
    <t>水利組合負担金</t>
  </si>
  <si>
    <t>積立金（機械、施設、道・水路、農地整備、イベント）</t>
    <rPh sb="0" eb="2">
      <t>ツミタテ</t>
    </rPh>
    <rPh sb="2" eb="3">
      <t>キン</t>
    </rPh>
    <phoneticPr fontId="5"/>
  </si>
  <si>
    <t>会議・協定書に定めた計画に基づく研修・作業時等の食事代・弁当等（一人1,000円程度を上限とする）</t>
    <rPh sb="22" eb="23">
      <t>トウ</t>
    </rPh>
    <rPh sb="24" eb="27">
      <t>ショクジダイ</t>
    </rPh>
    <rPh sb="28" eb="30">
      <t>ベントウ</t>
    </rPh>
    <rPh sb="30" eb="31">
      <t>トウ</t>
    </rPh>
    <rPh sb="32" eb="34">
      <t>ヒトリ</t>
    </rPh>
    <rPh sb="39" eb="40">
      <t>エン</t>
    </rPh>
    <rPh sb="40" eb="42">
      <t>テイド</t>
    </rPh>
    <rPh sb="43" eb="45">
      <t>ジョウゲン</t>
    </rPh>
    <phoneticPr fontId="5"/>
  </si>
  <si>
    <t>320</t>
  </si>
  <si>
    <t>自走草刈機</t>
  </si>
  <si>
    <t>　経費外支出額</t>
    <rPh sb="1" eb="3">
      <t>ケイヒ</t>
    </rPh>
    <rPh sb="3" eb="4">
      <t>ガイ</t>
    </rPh>
    <rPh sb="4" eb="6">
      <t>シシュツ</t>
    </rPh>
    <rPh sb="6" eb="7">
      <t>ガク</t>
    </rPh>
    <phoneticPr fontId="5"/>
  </si>
  <si>
    <t>集落協定名</t>
    <rPh sb="0" eb="2">
      <t>シュウラク</t>
    </rPh>
    <rPh sb="2" eb="4">
      <t>キョウテイ</t>
    </rPh>
    <rPh sb="4" eb="5">
      <t>メイ</t>
    </rPh>
    <phoneticPr fontId="5"/>
  </si>
  <si>
    <t>月山　かすり</t>
  </si>
  <si>
    <t>支出項目</t>
    <rPh sb="0" eb="2">
      <t>シシュツ</t>
    </rPh>
    <rPh sb="2" eb="4">
      <t>コウモク</t>
    </rPh>
    <phoneticPr fontId="5"/>
  </si>
  <si>
    <t>325</t>
  </si>
  <si>
    <t>570</t>
  </si>
  <si>
    <t>こんにゃく出荷用ダンボール箱</t>
    <rPh sb="5" eb="7">
      <t>シュッカ</t>
    </rPh>
    <rPh sb="7" eb="8">
      <t>ヨウ</t>
    </rPh>
    <rPh sb="13" eb="14">
      <t>バコ</t>
    </rPh>
    <phoneticPr fontId="89"/>
  </si>
  <si>
    <t>都市住民との交流促進関係費</t>
  </si>
  <si>
    <t>代表者氏名:</t>
    <rPh sb="0" eb="2">
      <t>ダイヒョウ</t>
    </rPh>
    <rPh sb="2" eb="3">
      <t>シャ</t>
    </rPh>
    <rPh sb="3" eb="5">
      <t>シメイ</t>
    </rPh>
    <phoneticPr fontId="5"/>
  </si>
  <si>
    <t>020</t>
  </si>
  <si>
    <t>法人設立関係費</t>
    <rPh sb="0" eb="2">
      <t>ホウジン</t>
    </rPh>
    <rPh sb="2" eb="4">
      <t>セツリツ</t>
    </rPh>
    <rPh sb="4" eb="6">
      <t>カンケイ</t>
    </rPh>
    <rPh sb="6" eb="7">
      <t>ヒ</t>
    </rPh>
    <phoneticPr fontId="5"/>
  </si>
  <si>
    <t>氏名</t>
    <rPh sb="0" eb="1">
      <t>シ</t>
    </rPh>
    <rPh sb="1" eb="2">
      <t>メイ</t>
    </rPh>
    <phoneticPr fontId="5"/>
  </si>
  <si>
    <t>田植機（５条）</t>
  </si>
  <si>
    <t>970</t>
  </si>
  <si>
    <t>集落代表者</t>
    <rPh sb="0" eb="2">
      <t>シュウラク</t>
    </rPh>
    <rPh sb="2" eb="5">
      <t>ダイヒョウシャ</t>
    </rPh>
    <phoneticPr fontId="5"/>
  </si>
  <si>
    <t>②共同取り組み活動分</t>
    <rPh sb="1" eb="3">
      <t>キョウドウ</t>
    </rPh>
    <rPh sb="3" eb="4">
      <t>ト</t>
    </rPh>
    <rPh sb="5" eb="6">
      <t>ク</t>
    </rPh>
    <rPh sb="7" eb="9">
      <t>カツドウ</t>
    </rPh>
    <rPh sb="9" eb="10">
      <t>ブン</t>
    </rPh>
    <phoneticPr fontId="5"/>
  </si>
  <si>
    <t>310</t>
  </si>
  <si>
    <t>新耐用年数</t>
  </si>
  <si>
    <t>ジュース代
@150×10本</t>
    <rPh sb="4" eb="5">
      <t>ダイ</t>
    </rPh>
    <rPh sb="13" eb="14">
      <t>ホン</t>
    </rPh>
    <phoneticPr fontId="5"/>
  </si>
  <si>
    <t>協定参加者名</t>
    <rPh sb="0" eb="2">
      <t>キョウテイ</t>
    </rPh>
    <rPh sb="2" eb="5">
      <t>サンカシャ</t>
    </rPh>
    <rPh sb="5" eb="6">
      <t>メイ</t>
    </rPh>
    <phoneticPr fontId="5"/>
  </si>
  <si>
    <t>円　　　按分の方法：</t>
    <rPh sb="0" eb="1">
      <t>エン</t>
    </rPh>
    <rPh sb="4" eb="6">
      <t>アンブン</t>
    </rPh>
    <rPh sb="7" eb="9">
      <t>ホウホウ</t>
    </rPh>
    <phoneticPr fontId="5"/>
  </si>
  <si>
    <t>処分制限年月日</t>
    <rPh sb="0" eb="2">
      <t>ショブン</t>
    </rPh>
    <rPh sb="2" eb="4">
      <t>セイゲン</t>
    </rPh>
    <rPh sb="4" eb="7">
      <t>ネンガッピ</t>
    </rPh>
    <phoneticPr fontId="5"/>
  </si>
  <si>
    <t>分類</t>
    <rPh sb="0" eb="2">
      <t>ブンルイ</t>
    </rPh>
    <phoneticPr fontId="5"/>
  </si>
  <si>
    <t>支出額</t>
    <rPh sb="0" eb="2">
      <t>シシュツ</t>
    </rPh>
    <rPh sb="2" eb="3">
      <t>ガク</t>
    </rPh>
    <phoneticPr fontId="5"/>
  </si>
  <si>
    <t>　５　交付金の積立・繰越に係る計画</t>
    <rPh sb="3" eb="6">
      <t>コウフキン</t>
    </rPh>
    <rPh sb="7" eb="9">
      <t>ツミタテ</t>
    </rPh>
    <rPh sb="10" eb="12">
      <t>クリコシ</t>
    </rPh>
    <rPh sb="13" eb="14">
      <t>カカ</t>
    </rPh>
    <rPh sb="15" eb="17">
      <t>ケイカク</t>
    </rPh>
    <phoneticPr fontId="5"/>
  </si>
  <si>
    <t>ドローンを１機導入し、ドローンを活用した農薬散布を田●ａ、畑●ａで実施する。</t>
    <rPh sb="6" eb="7">
      <t>キ</t>
    </rPh>
    <phoneticPr fontId="5"/>
  </si>
  <si>
    <t>円盤スキ</t>
  </si>
  <si>
    <t>施設・機械名</t>
    <rPh sb="0" eb="2">
      <t>シセツ</t>
    </rPh>
    <rPh sb="3" eb="5">
      <t>キカイ</t>
    </rPh>
    <rPh sb="5" eb="6">
      <t>メイ</t>
    </rPh>
    <phoneticPr fontId="5"/>
  </si>
  <si>
    <t>超急傾斜農地で生産される農作物の販売促進等</t>
    <rPh sb="0" eb="1">
      <t>チョウ</t>
    </rPh>
    <rPh sb="1" eb="4">
      <t>キュウケイシャ</t>
    </rPh>
    <rPh sb="4" eb="6">
      <t>ノウチ</t>
    </rPh>
    <rPh sb="7" eb="9">
      <t>セイサン</t>
    </rPh>
    <rPh sb="12" eb="15">
      <t>ノウサクモツ</t>
    </rPh>
    <rPh sb="16" eb="18">
      <t>ハンバイ</t>
    </rPh>
    <rPh sb="18" eb="20">
      <t>ソクシン</t>
    </rPh>
    <rPh sb="20" eb="21">
      <t>トウ</t>
    </rPh>
    <phoneticPr fontId="5"/>
  </si>
  <si>
    <t>2　協定参加者別細目</t>
    <rPh sb="2" eb="4">
      <t>キョウテイ</t>
    </rPh>
    <rPh sb="4" eb="7">
      <t>サンカシャ</t>
    </rPh>
    <rPh sb="7" eb="8">
      <t>ベツ</t>
    </rPh>
    <rPh sb="8" eb="10">
      <t>サイモク</t>
    </rPh>
    <phoneticPr fontId="5"/>
  </si>
  <si>
    <t>ジュース</t>
  </si>
  <si>
    <t>備　　　　　　　　　　　考</t>
    <rPh sb="0" eb="1">
      <t>ビ</t>
    </rPh>
    <rPh sb="12" eb="13">
      <t>コウ</t>
    </rPh>
    <phoneticPr fontId="5"/>
  </si>
  <si>
    <t>収入額</t>
    <rPh sb="0" eb="2">
      <t>シュウニュウ</t>
    </rPh>
    <rPh sb="2" eb="3">
      <t>ガク</t>
    </rPh>
    <phoneticPr fontId="5"/>
  </si>
  <si>
    <t>共同取り組活動分</t>
    <rPh sb="0" eb="2">
      <t>キョウドウ</t>
    </rPh>
    <rPh sb="2" eb="3">
      <t>ト</t>
    </rPh>
    <rPh sb="4" eb="5">
      <t>ク</t>
    </rPh>
    <rPh sb="5" eb="7">
      <t>カツドウ</t>
    </rPh>
    <rPh sb="7" eb="8">
      <t>ブン</t>
    </rPh>
    <phoneticPr fontId="5"/>
  </si>
  <si>
    <t>130</t>
  </si>
  <si>
    <t>燃料代</t>
    <rPh sb="0" eb="3">
      <t>ネンリョウダイ</t>
    </rPh>
    <phoneticPr fontId="89"/>
  </si>
  <si>
    <t>（７）個人配分額⑧を入力。</t>
  </si>
  <si>
    <t>利子割引料</t>
    <rPh sb="0" eb="2">
      <t>リシ</t>
    </rPh>
    <rPh sb="2" eb="4">
      <t>ワリビキ</t>
    </rPh>
    <rPh sb="4" eb="5">
      <t>リョウ</t>
    </rPh>
    <phoneticPr fontId="5"/>
  </si>
  <si>
    <t>取得年月</t>
    <rPh sb="0" eb="2">
      <t>シュトク</t>
    </rPh>
    <rPh sb="2" eb="3">
      <t>ネン</t>
    </rPh>
    <rPh sb="3" eb="4">
      <t>ツキ</t>
    </rPh>
    <phoneticPr fontId="5"/>
  </si>
  <si>
    <t>トラクター（２０馬力以上）</t>
  </si>
  <si>
    <t>合　　　計</t>
    <rPh sb="0" eb="1">
      <t>ゴウ</t>
    </rPh>
    <rPh sb="4" eb="5">
      <t>ケイ</t>
    </rPh>
    <phoneticPr fontId="5"/>
  </si>
  <si>
    <t>総　　　　額</t>
    <rPh sb="0" eb="1">
      <t>フサ</t>
    </rPh>
    <rPh sb="5" eb="6">
      <t>ガク</t>
    </rPh>
    <phoneticPr fontId="5"/>
  </si>
  <si>
    <t>２年償却資産</t>
  </si>
  <si>
    <t>111</t>
  </si>
  <si>
    <t>令和6年度
活動実績</t>
    <rPh sb="0" eb="2">
      <t>レイワ</t>
    </rPh>
    <rPh sb="3" eb="4">
      <t>ネン</t>
    </rPh>
    <rPh sb="4" eb="5">
      <t>ド</t>
    </rPh>
    <rPh sb="6" eb="8">
      <t>カツドウ</t>
    </rPh>
    <rPh sb="8" eb="10">
      <t>ジッセキ</t>
    </rPh>
    <phoneticPr fontId="5"/>
  </si>
  <si>
    <t>収入計</t>
    <rPh sb="0" eb="2">
      <t>シュウニュウ</t>
    </rPh>
    <rPh sb="2" eb="3">
      <t>ケイ</t>
    </rPh>
    <phoneticPr fontId="5"/>
  </si>
  <si>
    <t>支　　　出</t>
    <rPh sb="0" eb="1">
      <t>ササ</t>
    </rPh>
    <rPh sb="4" eb="5">
      <t>デ</t>
    </rPh>
    <phoneticPr fontId="5"/>
  </si>
  <si>
    <t>体制整備単価・加算措置活動　活動記録簿</t>
    <rPh sb="14" eb="16">
      <t>カツドウ</t>
    </rPh>
    <rPh sb="16" eb="19">
      <t>キロクボ</t>
    </rPh>
    <phoneticPr fontId="5"/>
  </si>
  <si>
    <t>●農作業の共同化</t>
  </si>
  <si>
    <t>所得金額</t>
    <rPh sb="0" eb="2">
      <t>ショトク</t>
    </rPh>
    <rPh sb="2" eb="4">
      <t>キンガク</t>
    </rPh>
    <phoneticPr fontId="5"/>
  </si>
  <si>
    <t>④（=①＋②）</t>
  </si>
  <si>
    <t>協定参加者氏名の欄に氏名を入力した場合は必ず数字を入力。ゼロの時は「０」を。但し氏名が空欄の場合は空欄のままで。</t>
    <rPh sb="0" eb="2">
      <t>キョウテイ</t>
    </rPh>
    <rPh sb="2" eb="5">
      <t>サンカシャ</t>
    </rPh>
    <rPh sb="5" eb="7">
      <t>シメイ</t>
    </rPh>
    <rPh sb="8" eb="9">
      <t>ラン</t>
    </rPh>
    <rPh sb="10" eb="12">
      <t>シメイ</t>
    </rPh>
    <rPh sb="13" eb="15">
      <t>ニュウリョク</t>
    </rPh>
    <rPh sb="17" eb="19">
      <t>バアイ</t>
    </rPh>
    <rPh sb="20" eb="21">
      <t>カナラ</t>
    </rPh>
    <rPh sb="22" eb="24">
      <t>スウジ</t>
    </rPh>
    <rPh sb="25" eb="27">
      <t>ニュウリョク</t>
    </rPh>
    <rPh sb="31" eb="32">
      <t>トキ</t>
    </rPh>
    <rPh sb="38" eb="39">
      <t>タダ</t>
    </rPh>
    <rPh sb="40" eb="42">
      <t>シメイ</t>
    </rPh>
    <rPh sb="43" eb="45">
      <t>クウラン</t>
    </rPh>
    <rPh sb="46" eb="48">
      <t>バアイ</t>
    </rPh>
    <rPh sb="49" eb="51">
      <t>クウラン</t>
    </rPh>
    <phoneticPr fontId="5"/>
  </si>
  <si>
    <t>　　個人配分として参加者個人へ配分された金額を、個人ごとに入力してください。
  （個人配分をしない協定参加者へは「0」を入力）</t>
    <rPh sb="2" eb="4">
      <t>コジン</t>
    </rPh>
    <rPh sb="4" eb="6">
      <t>ハイブン</t>
    </rPh>
    <rPh sb="9" eb="12">
      <t>サンカシャ</t>
    </rPh>
    <rPh sb="12" eb="14">
      <t>コジン</t>
    </rPh>
    <rPh sb="15" eb="17">
      <t>ハイブン</t>
    </rPh>
    <rPh sb="20" eb="21">
      <t>キン</t>
    </rPh>
    <rPh sb="21" eb="22">
      <t>ガク</t>
    </rPh>
    <rPh sb="24" eb="26">
      <t>コジン</t>
    </rPh>
    <rPh sb="29" eb="31">
      <t>ニュウリョク</t>
    </rPh>
    <rPh sb="42" eb="44">
      <t>コジン</t>
    </rPh>
    <rPh sb="44" eb="46">
      <t>ハイブン</t>
    </rPh>
    <rPh sb="50" eb="52">
      <t>キョウテイ</t>
    </rPh>
    <rPh sb="52" eb="55">
      <t>サンカシャ</t>
    </rPh>
    <rPh sb="61" eb="63">
      <t>ニュウリョク</t>
    </rPh>
    <phoneticPr fontId="5"/>
  </si>
  <si>
    <t>⑥（＝④+⑤）</t>
  </si>
  <si>
    <t>動力噴霧器</t>
  </si>
  <si>
    <t>集落合計</t>
    <rPh sb="0" eb="2">
      <t>シュウラク</t>
    </rPh>
    <rPh sb="2" eb="4">
      <t>ゴウケイ</t>
    </rPh>
    <phoneticPr fontId="5"/>
  </si>
  <si>
    <t>①</t>
  </si>
  <si>
    <t>本年中の償却期間</t>
    <rPh sb="0" eb="1">
      <t>ホン</t>
    </rPh>
    <rPh sb="1" eb="2">
      <t>ネン</t>
    </rPh>
    <rPh sb="2" eb="3">
      <t>チュウ</t>
    </rPh>
    <rPh sb="4" eb="6">
      <t>ショウキャク</t>
    </rPh>
    <rPh sb="6" eb="8">
      <t>キカン</t>
    </rPh>
    <phoneticPr fontId="5"/>
  </si>
  <si>
    <t>本年中の償却期間</t>
    <rPh sb="0" eb="2">
      <t>ホンネン</t>
    </rPh>
    <rPh sb="2" eb="3">
      <t>チュウ</t>
    </rPh>
    <rPh sb="4" eb="6">
      <t>ショウキャク</t>
    </rPh>
    <rPh sb="6" eb="8">
      <t>キカン</t>
    </rPh>
    <phoneticPr fontId="5"/>
  </si>
  <si>
    <t>②</t>
  </si>
  <si>
    <t>交付金総額</t>
    <rPh sb="0" eb="3">
      <t>コウフキン</t>
    </rPh>
    <rPh sb="3" eb="5">
      <t>ソウガク</t>
    </rPh>
    <phoneticPr fontId="5"/>
  </si>
  <si>
    <t>農業用トラック</t>
  </si>
  <si>
    <t>その他収入</t>
    <rPh sb="2" eb="3">
      <t>タ</t>
    </rPh>
    <rPh sb="3" eb="5">
      <t>シュウニュウ</t>
    </rPh>
    <phoneticPr fontId="5"/>
  </si>
  <si>
    <t>経費外支出</t>
    <rPh sb="0" eb="2">
      <t>ケイヒ</t>
    </rPh>
    <rPh sb="2" eb="3">
      <t>ガイ</t>
    </rPh>
    <rPh sb="3" eb="5">
      <t>シシュツ</t>
    </rPh>
    <phoneticPr fontId="5"/>
  </si>
  <si>
    <t>精米機</t>
  </si>
  <si>
    <t>１０年償却資産</t>
  </si>
  <si>
    <t>(２)共同取組活動支出額</t>
    <rPh sb="3" eb="5">
      <t>キョウドウ</t>
    </rPh>
    <rPh sb="5" eb="6">
      <t>ト</t>
    </rPh>
    <rPh sb="6" eb="7">
      <t>ク</t>
    </rPh>
    <rPh sb="7" eb="9">
      <t>カツドウ</t>
    </rPh>
    <rPh sb="9" eb="11">
      <t>シシュツ</t>
    </rPh>
    <rPh sb="11" eb="12">
      <t>ガク</t>
    </rPh>
    <phoneticPr fontId="5"/>
  </si>
  <si>
    <t>コンバイン</t>
  </si>
  <si>
    <t>個人配分額</t>
    <rPh sb="0" eb="2">
      <t>コジン</t>
    </rPh>
    <rPh sb="2" eb="4">
      <t>ハイブン</t>
    </rPh>
    <rPh sb="4" eb="5">
      <t>ガク</t>
    </rPh>
    <phoneticPr fontId="5"/>
  </si>
  <si>
    <t>按分率</t>
    <rPh sb="0" eb="2">
      <t>アンブン</t>
    </rPh>
    <rPh sb="2" eb="3">
      <t>リツ</t>
    </rPh>
    <phoneticPr fontId="5"/>
  </si>
  <si>
    <t>田</t>
    <rPh sb="0" eb="1">
      <t>タ</t>
    </rPh>
    <phoneticPr fontId="5"/>
  </si>
  <si>
    <t>/</t>
  </si>
  <si>
    <t>籾摺機</t>
  </si>
  <si>
    <t>持分(参考値）</t>
    <rPh sb="0" eb="2">
      <t>モチブン</t>
    </rPh>
    <rPh sb="3" eb="5">
      <t>サンコウ</t>
    </rPh>
    <rPh sb="5" eb="6">
      <t>アタイ</t>
    </rPh>
    <phoneticPr fontId="5"/>
  </si>
  <si>
    <t>飼料の購入費</t>
  </si>
  <si>
    <t>670</t>
  </si>
  <si>
    <t>分子</t>
    <rPh sb="0" eb="2">
      <t>ブンシ</t>
    </rPh>
    <phoneticPr fontId="5"/>
  </si>
  <si>
    <t>⑩（＝⑥-⑧-⑨）</t>
  </si>
  <si>
    <t>分母</t>
    <rPh sb="0" eb="2">
      <t>ブンボ</t>
    </rPh>
    <phoneticPr fontId="5"/>
  </si>
  <si>
    <t>協定者
個人別
持分割合</t>
    <rPh sb="0" eb="2">
      <t>キョウテイ</t>
    </rPh>
    <rPh sb="2" eb="3">
      <t>シャ</t>
    </rPh>
    <rPh sb="4" eb="6">
      <t>コジン</t>
    </rPh>
    <rPh sb="6" eb="7">
      <t>ベツ</t>
    </rPh>
    <rPh sb="8" eb="10">
      <t>モチブン</t>
    </rPh>
    <rPh sb="10" eb="12">
      <t>ワリアイ</t>
    </rPh>
    <phoneticPr fontId="5"/>
  </si>
  <si>
    <t>人</t>
    <rPh sb="0" eb="1">
      <t>ニン</t>
    </rPh>
    <phoneticPr fontId="5"/>
  </si>
  <si>
    <t>単位：円</t>
    <rPh sb="0" eb="2">
      <t>タンイ</t>
    </rPh>
    <rPh sb="3" eb="4">
      <t>エン</t>
    </rPh>
    <phoneticPr fontId="5"/>
  </si>
  <si>
    <t>総収入額</t>
    <rPh sb="0" eb="3">
      <t>ソウシュウニュウ</t>
    </rPh>
    <rPh sb="3" eb="4">
      <t>ガク</t>
    </rPh>
    <phoneticPr fontId="5"/>
  </si>
  <si>
    <t>協定者で均等に按分</t>
  </si>
  <si>
    <t>経費外支出按分額</t>
    <rPh sb="0" eb="2">
      <t>ケイヒ</t>
    </rPh>
    <rPh sb="2" eb="3">
      <t>ガイ</t>
    </rPh>
    <rPh sb="3" eb="5">
      <t>シシュツ</t>
    </rPh>
    <rPh sb="5" eb="7">
      <t>アンブン</t>
    </rPh>
    <rPh sb="7" eb="8">
      <t>ガク</t>
    </rPh>
    <phoneticPr fontId="5"/>
  </si>
  <si>
    <t>上記以外の費用で農業を経営するうえで必要な費用（事務用品代等）</t>
  </si>
  <si>
    <t>飲食代</t>
    <rPh sb="0" eb="3">
      <t>インショクダイ</t>
    </rPh>
    <phoneticPr fontId="5"/>
  </si>
  <si>
    <t>十神　どじょ夫</t>
    <rPh sb="0" eb="2">
      <t>トカミ</t>
    </rPh>
    <rPh sb="6" eb="7">
      <t>オット</t>
    </rPh>
    <phoneticPr fontId="90"/>
  </si>
  <si>
    <t>総支出額</t>
    <rPh sb="0" eb="1">
      <t>ソウ</t>
    </rPh>
    <rPh sb="1" eb="3">
      <t>シシュツ</t>
    </rPh>
    <rPh sb="3" eb="4">
      <t>ガク</t>
    </rPh>
    <phoneticPr fontId="5"/>
  </si>
  <si>
    <t>合計金額</t>
  </si>
  <si>
    <t>交付金総額から個人配分を除いた共同取組活動に用いる交付金を協定者で按分したもの</t>
    <rPh sb="0" eb="3">
      <t>コウフキン</t>
    </rPh>
    <rPh sb="3" eb="5">
      <t>ソウガク</t>
    </rPh>
    <rPh sb="7" eb="9">
      <t>コジン</t>
    </rPh>
    <rPh sb="9" eb="11">
      <t>ハイブン</t>
    </rPh>
    <rPh sb="12" eb="13">
      <t>ノゾ</t>
    </rPh>
    <rPh sb="15" eb="17">
      <t>キョウドウ</t>
    </rPh>
    <rPh sb="17" eb="19">
      <t>トリクミ</t>
    </rPh>
    <rPh sb="19" eb="21">
      <t>カツドウ</t>
    </rPh>
    <rPh sb="22" eb="23">
      <t>モチ</t>
    </rPh>
    <rPh sb="25" eb="28">
      <t>コウフキン</t>
    </rPh>
    <rPh sb="29" eb="31">
      <t>キョウテイ</t>
    </rPh>
    <rPh sb="31" eb="32">
      <t>シャ</t>
    </rPh>
    <rPh sb="33" eb="35">
      <t>アンブン</t>
    </rPh>
    <phoneticPr fontId="5"/>
  </si>
  <si>
    <t>　交付金として振り込まれた金額、その他収入（販売等で得た収入）、預金利息を入力。（「0」なら「0」を入力）借り入れ金は含めないでください。</t>
    <rPh sb="1" eb="4">
      <t>コウフキン</t>
    </rPh>
    <rPh sb="7" eb="8">
      <t>フ</t>
    </rPh>
    <rPh sb="9" eb="10">
      <t>コ</t>
    </rPh>
    <rPh sb="13" eb="15">
      <t>キンガク</t>
    </rPh>
    <rPh sb="18" eb="19">
      <t>タ</t>
    </rPh>
    <rPh sb="19" eb="21">
      <t>シュウニュウ</t>
    </rPh>
    <rPh sb="22" eb="24">
      <t>ハンバイ</t>
    </rPh>
    <rPh sb="24" eb="25">
      <t>トウ</t>
    </rPh>
    <rPh sb="26" eb="27">
      <t>エ</t>
    </rPh>
    <rPh sb="28" eb="30">
      <t>シュウニュウ</t>
    </rPh>
    <rPh sb="32" eb="34">
      <t>ヨキン</t>
    </rPh>
    <rPh sb="34" eb="36">
      <t>リソク</t>
    </rPh>
    <rPh sb="37" eb="39">
      <t>ニュウリョク</t>
    </rPh>
    <rPh sb="53" eb="54">
      <t>カ</t>
    </rPh>
    <rPh sb="55" eb="56">
      <t>イ</t>
    </rPh>
    <rPh sb="57" eb="58">
      <t>キン</t>
    </rPh>
    <rPh sb="59" eb="60">
      <t>フク</t>
    </rPh>
    <phoneticPr fontId="5"/>
  </si>
  <si>
    <t>個人配分総額</t>
    <rPh sb="0" eb="2">
      <t>コジン</t>
    </rPh>
    <rPh sb="2" eb="4">
      <t>ハイブン</t>
    </rPh>
    <rPh sb="4" eb="6">
      <t>ソウガク</t>
    </rPh>
    <phoneticPr fontId="5"/>
  </si>
  <si>
    <t>505</t>
  </si>
  <si>
    <t>総収入額</t>
    <rPh sb="0" eb="1">
      <t>ソウ</t>
    </rPh>
    <rPh sb="1" eb="3">
      <t>シュウニュウ</t>
    </rPh>
    <rPh sb="3" eb="4">
      <t>ガク</t>
    </rPh>
    <phoneticPr fontId="5"/>
  </si>
  <si>
    <t>共同取組活動分収入額</t>
    <rPh sb="0" eb="2">
      <t>キョウドウ</t>
    </rPh>
    <rPh sb="2" eb="3">
      <t>ト</t>
    </rPh>
    <rPh sb="3" eb="4">
      <t>ク</t>
    </rPh>
    <rPh sb="4" eb="6">
      <t>カツドウ</t>
    </rPh>
    <rPh sb="6" eb="7">
      <t>ブン</t>
    </rPh>
    <rPh sb="7" eb="9">
      <t>シュウニュウ</t>
    </rPh>
    <rPh sb="9" eb="10">
      <t>ガク</t>
    </rPh>
    <phoneticPr fontId="5"/>
  </si>
  <si>
    <t>個別収入</t>
    <rPh sb="0" eb="2">
      <t>コベツ</t>
    </rPh>
    <rPh sb="2" eb="4">
      <t>シュウニュウ</t>
    </rPh>
    <phoneticPr fontId="5"/>
  </si>
  <si>
    <t>（参考資料）面積による按分率</t>
    <rPh sb="1" eb="3">
      <t>サンコウ</t>
    </rPh>
    <rPh sb="3" eb="5">
      <t>シリョウ</t>
    </rPh>
    <rPh sb="6" eb="8">
      <t>メンセキ</t>
    </rPh>
    <rPh sb="11" eb="13">
      <t>アンブン</t>
    </rPh>
    <rPh sb="13" eb="14">
      <t>リツ</t>
    </rPh>
    <phoneticPr fontId="5"/>
  </si>
  <si>
    <t>930</t>
  </si>
  <si>
    <t>加工所ガス・電気・水道料</t>
    <rPh sb="0" eb="2">
      <t>カコウ</t>
    </rPh>
    <rPh sb="2" eb="3">
      <t>ジョ</t>
    </rPh>
    <rPh sb="6" eb="8">
      <t>デンキ</t>
    </rPh>
    <rPh sb="9" eb="11">
      <t>スイドウ</t>
    </rPh>
    <rPh sb="11" eb="12">
      <t>リョウ</t>
    </rPh>
    <phoneticPr fontId="89"/>
  </si>
  <si>
    <t>メッシュ　@500×50枚</t>
    <rPh sb="12" eb="13">
      <t>マイ</t>
    </rPh>
    <phoneticPr fontId="89"/>
  </si>
  <si>
    <t>鳥獣被害防止対策費</t>
    <rPh sb="0" eb="2">
      <t>チョウジュウ</t>
    </rPh>
    <rPh sb="2" eb="4">
      <t>ヒガイ</t>
    </rPh>
    <rPh sb="4" eb="6">
      <t>ボウシ</t>
    </rPh>
    <rPh sb="6" eb="9">
      <t>タイサクヒ</t>
    </rPh>
    <phoneticPr fontId="5"/>
  </si>
  <si>
    <t>事業実施期間</t>
    <rPh sb="0" eb="2">
      <t>ジギョウ</t>
    </rPh>
    <rPh sb="2" eb="4">
      <t>ジッシ</t>
    </rPh>
    <rPh sb="4" eb="6">
      <t>キカン</t>
    </rPh>
    <phoneticPr fontId="5"/>
  </si>
  <si>
    <t>対象面積</t>
    <rPh sb="0" eb="2">
      <t>タイショウ</t>
    </rPh>
    <rPh sb="2" eb="4">
      <t>メンセキ</t>
    </rPh>
    <phoneticPr fontId="5"/>
  </si>
  <si>
    <t>型式等</t>
    <rPh sb="0" eb="1">
      <t>カタ</t>
    </rPh>
    <rPh sb="1" eb="2">
      <t>シキ</t>
    </rPh>
    <rPh sb="2" eb="3">
      <t>トウ</t>
    </rPh>
    <phoneticPr fontId="5"/>
  </si>
  <si>
    <t>調整欄</t>
    <rPh sb="0" eb="2">
      <t>チョウセイ</t>
    </rPh>
    <rPh sb="2" eb="3">
      <t>ラン</t>
    </rPh>
    <phoneticPr fontId="5"/>
  </si>
  <si>
    <t>按分率0及び空欄は空欄のままで。「0」入力はダメ</t>
    <rPh sb="0" eb="2">
      <t>アンブン</t>
    </rPh>
    <rPh sb="2" eb="3">
      <t>リツ</t>
    </rPh>
    <rPh sb="4" eb="5">
      <t>オヨ</t>
    </rPh>
    <rPh sb="6" eb="8">
      <t>クウラン</t>
    </rPh>
    <rPh sb="9" eb="11">
      <t>クウラン</t>
    </rPh>
    <rPh sb="19" eb="21">
      <t>ニュウリョク</t>
    </rPh>
    <phoneticPr fontId="5"/>
  </si>
  <si>
    <t>農業共済掛金等</t>
    <rPh sb="0" eb="2">
      <t>ノウギョウ</t>
    </rPh>
    <rPh sb="2" eb="4">
      <t>キョウサイ</t>
    </rPh>
    <rPh sb="4" eb="5">
      <t>カ</t>
    </rPh>
    <rPh sb="5" eb="7">
      <t>キントウ</t>
    </rPh>
    <phoneticPr fontId="5"/>
  </si>
  <si>
    <t>取崩予定年度</t>
  </si>
  <si>
    <t>（要修正分子数）</t>
    <rPh sb="1" eb="2">
      <t>ヨウ</t>
    </rPh>
    <rPh sb="2" eb="4">
      <t>シュウセイ</t>
    </rPh>
    <rPh sb="4" eb="6">
      <t>ブンシ</t>
    </rPh>
    <rPh sb="6" eb="7">
      <t>スウ</t>
    </rPh>
    <phoneticPr fontId="5"/>
  </si>
  <si>
    <t>子牛、子豚、ひななどの購入費及び種付け料</t>
  </si>
  <si>
    <t>用紙代、コピー代、プリンタトナー</t>
  </si>
  <si>
    <t>警告</t>
    <rPh sb="0" eb="2">
      <t>ケイコク</t>
    </rPh>
    <phoneticPr fontId="5"/>
  </si>
  <si>
    <t>計</t>
    <rPh sb="0" eb="1">
      <t>ケイ</t>
    </rPh>
    <phoneticPr fontId="5"/>
  </si>
  <si>
    <t>農機具倉庫修理費</t>
    <rPh sb="0" eb="3">
      <t>ノウキグ</t>
    </rPh>
    <rPh sb="3" eb="5">
      <t>ソウコ</t>
    </rPh>
    <rPh sb="5" eb="7">
      <t>シュウリ</t>
    </rPh>
    <rPh sb="7" eb="8">
      <t>ヒ</t>
    </rPh>
    <phoneticPr fontId="89"/>
  </si>
  <si>
    <t>安来工務店</t>
  </si>
  <si>
    <t>氏名</t>
    <rPh sb="0" eb="2">
      <t>シメイ</t>
    </rPh>
    <phoneticPr fontId="5"/>
  </si>
  <si>
    <t>端数</t>
    <rPh sb="0" eb="2">
      <t>ハスウ</t>
    </rPh>
    <phoneticPr fontId="5"/>
  </si>
  <si>
    <t>調整後の按分率（入力表へ入力）</t>
    <rPh sb="0" eb="3">
      <t>チョウセイゴ</t>
    </rPh>
    <rPh sb="4" eb="6">
      <t>アンブン</t>
    </rPh>
    <rPh sb="6" eb="7">
      <t>リツ</t>
    </rPh>
    <rPh sb="8" eb="10">
      <t>ニュウリョク</t>
    </rPh>
    <rPh sb="10" eb="11">
      <t>ヒョウ</t>
    </rPh>
    <rPh sb="12" eb="14">
      <t>ニュウリョク</t>
    </rPh>
    <phoneticPr fontId="5"/>
  </si>
  <si>
    <t>中山間地域等直接支払交付金集落共同取組支出費目一覧</t>
    <rPh sb="0" eb="1">
      <t>チュウ</t>
    </rPh>
    <rPh sb="1" eb="3">
      <t>サンカン</t>
    </rPh>
    <rPh sb="3" eb="5">
      <t>チイキ</t>
    </rPh>
    <rPh sb="5" eb="6">
      <t>トウ</t>
    </rPh>
    <rPh sb="6" eb="8">
      <t>チョクセツ</t>
    </rPh>
    <rPh sb="8" eb="10">
      <t>シハラ</t>
    </rPh>
    <rPh sb="10" eb="13">
      <t>コウフキン</t>
    </rPh>
    <rPh sb="13" eb="15">
      <t>シュウラク</t>
    </rPh>
    <rPh sb="15" eb="17">
      <t>キョウドウ</t>
    </rPh>
    <rPh sb="17" eb="18">
      <t>ト</t>
    </rPh>
    <rPh sb="18" eb="19">
      <t>ク</t>
    </rPh>
    <rPh sb="19" eb="21">
      <t>シシュツ</t>
    </rPh>
    <rPh sb="21" eb="23">
      <t>ヒモク</t>
    </rPh>
    <rPh sb="23" eb="25">
      <t>イチラン</t>
    </rPh>
    <phoneticPr fontId="5"/>
  </si>
  <si>
    <t>〇集落収入</t>
    <rPh sb="1" eb="3">
      <t>シュウラク</t>
    </rPh>
    <rPh sb="3" eb="5">
      <t>シュウニュウ</t>
    </rPh>
    <phoneticPr fontId="5"/>
  </si>
  <si>
    <t>〇共同取組支出</t>
    <rPh sb="5" eb="7">
      <t>シシュツ</t>
    </rPh>
    <phoneticPr fontId="5"/>
  </si>
  <si>
    <t>面積割等で個人へ配分されたもの</t>
    <rPh sb="0" eb="2">
      <t>メンセキ</t>
    </rPh>
    <rPh sb="2" eb="3">
      <t>ワリ</t>
    </rPh>
    <rPh sb="3" eb="4">
      <t>トウ</t>
    </rPh>
    <rPh sb="5" eb="7">
      <t>コジン</t>
    </rPh>
    <rPh sb="8" eb="10">
      <t>ハイブン</t>
    </rPh>
    <phoneticPr fontId="5"/>
  </si>
  <si>
    <t>代表、事務局長、会計 @40,000×3人</t>
    <rPh sb="0" eb="2">
      <t>ダイヒョウ</t>
    </rPh>
    <rPh sb="3" eb="5">
      <t>ジム</t>
    </rPh>
    <rPh sb="5" eb="7">
      <t>キョクチョウ</t>
    </rPh>
    <rPh sb="8" eb="10">
      <t>カイケイ</t>
    </rPh>
    <rPh sb="20" eb="21">
      <t>ニン</t>
    </rPh>
    <phoneticPr fontId="89"/>
  </si>
  <si>
    <t>番号</t>
    <rPh sb="0" eb="2">
      <t>バンゴウ</t>
    </rPh>
    <phoneticPr fontId="5"/>
  </si>
  <si>
    <t>役職</t>
    <rPh sb="0" eb="2">
      <t>ヤクショク</t>
    </rPh>
    <phoneticPr fontId="5"/>
  </si>
  <si>
    <t>〇個人配分額</t>
    <rPh sb="1" eb="3">
      <t>コジン</t>
    </rPh>
    <rPh sb="3" eb="5">
      <t>ハイブン</t>
    </rPh>
    <rPh sb="5" eb="6">
      <t>ガク</t>
    </rPh>
    <phoneticPr fontId="5"/>
  </si>
  <si>
    <t>共同取組活動分から個人で受け取った手当・賃金等</t>
    <rPh sb="0" eb="2">
      <t>キョウドウ</t>
    </rPh>
    <rPh sb="2" eb="4">
      <t>トリクミ</t>
    </rPh>
    <rPh sb="4" eb="6">
      <t>カツドウ</t>
    </rPh>
    <rPh sb="6" eb="7">
      <t>ブン</t>
    </rPh>
    <rPh sb="9" eb="11">
      <t>コジン</t>
    </rPh>
    <rPh sb="12" eb="13">
      <t>ウ</t>
    </rPh>
    <rPh sb="14" eb="15">
      <t>ト</t>
    </rPh>
    <rPh sb="17" eb="19">
      <t>テアテ</t>
    </rPh>
    <rPh sb="20" eb="22">
      <t>チンギン</t>
    </rPh>
    <rPh sb="22" eb="23">
      <t>トウ</t>
    </rPh>
    <phoneticPr fontId="5"/>
  </si>
  <si>
    <t>農機具倉庫修理費</t>
  </si>
  <si>
    <t>共同取組活動支出</t>
    <rPh sb="0" eb="2">
      <t>キョウドウ</t>
    </rPh>
    <rPh sb="2" eb="3">
      <t>ト</t>
    </rPh>
    <rPh sb="3" eb="4">
      <t>ク</t>
    </rPh>
    <rPh sb="4" eb="6">
      <t>カツドウ</t>
    </rPh>
    <rPh sb="6" eb="8">
      <t>シシュツ</t>
    </rPh>
    <phoneticPr fontId="5"/>
  </si>
  <si>
    <t>ドローンを１機導入し、オペレーター１名を育成した。令和●年度から農薬散布を田●ａ、畑●ａで実施する予定。</t>
    <rPh sb="6" eb="7">
      <t>キ</t>
    </rPh>
    <rPh sb="7" eb="9">
      <t>ドウニュウ</t>
    </rPh>
    <rPh sb="18" eb="19">
      <t>メイ</t>
    </rPh>
    <rPh sb="20" eb="22">
      <t>イクセイ</t>
    </rPh>
    <rPh sb="25" eb="27">
      <t>レイワ</t>
    </rPh>
    <rPh sb="28" eb="30">
      <t>ネンド</t>
    </rPh>
    <rPh sb="49" eb="51">
      <t>ヨテイ</t>
    </rPh>
    <phoneticPr fontId="5"/>
  </si>
  <si>
    <t>市補助金</t>
    <rPh sb="0" eb="1">
      <t>シ</t>
    </rPh>
    <rPh sb="1" eb="4">
      <t>ホジョキン</t>
    </rPh>
    <phoneticPr fontId="5"/>
  </si>
  <si>
    <t>荷造運賃手数料</t>
    <rPh sb="0" eb="2">
      <t>ニヅク</t>
    </rPh>
    <rPh sb="2" eb="4">
      <t>ウンチン</t>
    </rPh>
    <rPh sb="4" eb="7">
      <t>テスウリョウ</t>
    </rPh>
    <phoneticPr fontId="5"/>
  </si>
  <si>
    <t>生産性向上</t>
  </si>
  <si>
    <t>円　配分の方法：</t>
    <rPh sb="0" eb="1">
      <t>エン</t>
    </rPh>
    <rPh sb="2" eb="4">
      <t>ハイブン</t>
    </rPh>
    <rPh sb="5" eb="7">
      <t>ホウホウ</t>
    </rPh>
    <phoneticPr fontId="5"/>
  </si>
  <si>
    <t>新たな人材を確保する取組</t>
    <rPh sb="0" eb="1">
      <t>アラ</t>
    </rPh>
    <rPh sb="3" eb="5">
      <t>ジンザイ</t>
    </rPh>
    <rPh sb="6" eb="8">
      <t>カクホ</t>
    </rPh>
    <rPh sb="10" eb="12">
      <t>トリクミ</t>
    </rPh>
    <phoneticPr fontId="5"/>
  </si>
  <si>
    <t>集落金</t>
    <rPh sb="0" eb="2">
      <t>シュウラク</t>
    </rPh>
    <rPh sb="2" eb="3">
      <t>キン</t>
    </rPh>
    <phoneticPr fontId="5"/>
  </si>
  <si>
    <t>　安来市長　田中　武夫　　様</t>
    <rPh sb="1" eb="5">
      <t>ヤスギシチョウ</t>
    </rPh>
    <rPh sb="6" eb="8">
      <t>タナカ</t>
    </rPh>
    <rPh sb="9" eb="11">
      <t>タケオ</t>
    </rPh>
    <rPh sb="13" eb="14">
      <t>サマ</t>
    </rPh>
    <phoneticPr fontId="5"/>
  </si>
  <si>
    <t>●農道の共同草刈</t>
  </si>
  <si>
    <t>土地改良事業の受益者負担金、客土費用</t>
  </si>
  <si>
    <t>白いセル</t>
    <rPh sb="0" eb="1">
      <t>シロ</t>
    </rPh>
    <phoneticPr fontId="5"/>
  </si>
  <si>
    <t>売掛金の貸倒損失</t>
  </si>
  <si>
    <t>←</t>
  </si>
  <si>
    <t>のみ入力してください</t>
    <rPh sb="2" eb="4">
      <t>ニュウリョク</t>
    </rPh>
    <phoneticPr fontId="5"/>
  </si>
  <si>
    <t>共同取組活動収入（集落金）按分額</t>
    <rPh sb="9" eb="11">
      <t>シュウラク</t>
    </rPh>
    <rPh sb="11" eb="12">
      <t>キン</t>
    </rPh>
    <rPh sb="13" eb="15">
      <t>アンブン</t>
    </rPh>
    <rPh sb="15" eb="16">
      <t>ガク</t>
    </rPh>
    <phoneticPr fontId="5"/>
  </si>
  <si>
    <t>④（=①+②）</t>
  </si>
  <si>
    <t>完了年月日</t>
    <rPh sb="0" eb="2">
      <t>カンリョウ</t>
    </rPh>
    <rPh sb="2" eb="5">
      <t>ネンガッピ</t>
    </rPh>
    <phoneticPr fontId="5"/>
  </si>
  <si>
    <t>交付金収入（個人配分+集落金按分額）</t>
    <rPh sb="0" eb="3">
      <t>コウフキン</t>
    </rPh>
    <rPh sb="3" eb="5">
      <t>シュウニュウ</t>
    </rPh>
    <rPh sb="6" eb="8">
      <t>コジン</t>
    </rPh>
    <rPh sb="8" eb="10">
      <t>ハイブン</t>
    </rPh>
    <rPh sb="11" eb="13">
      <t>シュウラク</t>
    </rPh>
    <rPh sb="13" eb="14">
      <t>キン</t>
    </rPh>
    <rPh sb="14" eb="16">
      <t>アンブン</t>
    </rPh>
    <rPh sb="16" eb="17">
      <t>ガク</t>
    </rPh>
    <phoneticPr fontId="5"/>
  </si>
  <si>
    <t>交付対象
面積(㎡）</t>
    <rPh sb="0" eb="2">
      <t>コウフ</t>
    </rPh>
    <rPh sb="2" eb="4">
      <t>タイショウ</t>
    </rPh>
    <rPh sb="5" eb="7">
      <t>メンセキ</t>
    </rPh>
    <phoneticPr fontId="5"/>
  </si>
  <si>
    <t>施肥機等</t>
  </si>
  <si>
    <t xml:space="preserve"> 農業経費外　　支出額</t>
    <rPh sb="1" eb="3">
      <t>ノウギョウ</t>
    </rPh>
    <rPh sb="3" eb="5">
      <t>ケイヒ</t>
    </rPh>
    <rPh sb="5" eb="6">
      <t>ガイ</t>
    </rPh>
    <rPh sb="8" eb="10">
      <t>シシュツ</t>
    </rPh>
    <rPh sb="10" eb="11">
      <t>ガク</t>
    </rPh>
    <phoneticPr fontId="5"/>
  </si>
  <si>
    <t>ア.総　　　計</t>
    <rPh sb="2" eb="3">
      <t>フサ</t>
    </rPh>
    <rPh sb="6" eb="7">
      <t>ケイ</t>
    </rPh>
    <phoneticPr fontId="5"/>
  </si>
  <si>
    <t>※番号1には必ず役員を入力してください。交付対象面積は共同取り組み活動を面積按分する場合のみ入力してください。</t>
    <rPh sb="1" eb="3">
      <t>バンゴウ</t>
    </rPh>
    <rPh sb="6" eb="7">
      <t>カナラ</t>
    </rPh>
    <rPh sb="8" eb="10">
      <t>ヤクイン</t>
    </rPh>
    <rPh sb="11" eb="13">
      <t>ニュウリョク</t>
    </rPh>
    <rPh sb="20" eb="22">
      <t>コウフ</t>
    </rPh>
    <rPh sb="22" eb="24">
      <t>タイショウ</t>
    </rPh>
    <rPh sb="24" eb="26">
      <t>メンセキ</t>
    </rPh>
    <rPh sb="27" eb="29">
      <t>キョウドウ</t>
    </rPh>
    <rPh sb="29" eb="30">
      <t>ト</t>
    </rPh>
    <rPh sb="31" eb="32">
      <t>ク</t>
    </rPh>
    <rPh sb="33" eb="35">
      <t>カツドウ</t>
    </rPh>
    <rPh sb="36" eb="38">
      <t>メンセキ</t>
    </rPh>
    <rPh sb="38" eb="40">
      <t>アンブン</t>
    </rPh>
    <rPh sb="42" eb="44">
      <t>バアイ</t>
    </rPh>
    <rPh sb="46" eb="48">
      <t>ニュウリョク</t>
    </rPh>
    <phoneticPr fontId="5"/>
  </si>
  <si>
    <t>※この表は共同取り組み活動分を交付対象面積により按分する場合のみ使用してください。</t>
    <rPh sb="3" eb="4">
      <t>ヒョウ</t>
    </rPh>
    <rPh sb="5" eb="7">
      <t>キョウドウ</t>
    </rPh>
    <rPh sb="7" eb="8">
      <t>ト</t>
    </rPh>
    <rPh sb="9" eb="10">
      <t>ク</t>
    </rPh>
    <rPh sb="11" eb="13">
      <t>カツドウ</t>
    </rPh>
    <rPh sb="13" eb="14">
      <t>ブン</t>
    </rPh>
    <rPh sb="15" eb="17">
      <t>コウフ</t>
    </rPh>
    <rPh sb="17" eb="19">
      <t>タイショウ</t>
    </rPh>
    <rPh sb="19" eb="21">
      <t>メンセキ</t>
    </rPh>
    <rPh sb="24" eb="26">
      <t>アンブン</t>
    </rPh>
    <rPh sb="28" eb="30">
      <t>バアイ</t>
    </rPh>
    <rPh sb="32" eb="34">
      <t>シヨウ</t>
    </rPh>
    <phoneticPr fontId="5"/>
  </si>
  <si>
    <t>年中山間地域等直接支払い交付金収支報告書</t>
  </si>
  <si>
    <t>年中</t>
    <rPh sb="0" eb="2">
      <t>ネンチュウ</t>
    </rPh>
    <phoneticPr fontId="5"/>
  </si>
  <si>
    <t>協定参加者氏名</t>
    <rPh sb="0" eb="2">
      <t>キョウテイ</t>
    </rPh>
    <rPh sb="2" eb="5">
      <t>サンカシャ</t>
    </rPh>
    <rPh sb="5" eb="7">
      <t>シメイ</t>
    </rPh>
    <phoneticPr fontId="5"/>
  </si>
  <si>
    <t>耐用年数</t>
  </si>
  <si>
    <t>空欄は空欄のままで。「0」等の余分なデータは入力しない！</t>
    <rPh sb="0" eb="2">
      <t>クウラン</t>
    </rPh>
    <rPh sb="3" eb="5">
      <t>クウラン</t>
    </rPh>
    <rPh sb="13" eb="14">
      <t>トウ</t>
    </rPh>
    <rPh sb="15" eb="17">
      <t>ヨブン</t>
    </rPh>
    <rPh sb="22" eb="24">
      <t>ニュウリョク</t>
    </rPh>
    <phoneticPr fontId="5"/>
  </si>
  <si>
    <t>軍手</t>
  </si>
  <si>
    <t>●農産物等の直販</t>
  </si>
  <si>
    <t>入力注意！</t>
    <rPh sb="0" eb="2">
      <t>ニュウリョク</t>
    </rPh>
    <rPh sb="2" eb="4">
      <t>チュウイ</t>
    </rPh>
    <phoneticPr fontId="5"/>
  </si>
  <si>
    <t>C</t>
  </si>
  <si>
    <t>①＋②＋③</t>
  </si>
  <si>
    <t>本年分の
償却費合計</t>
    <rPh sb="0" eb="2">
      <t>ホンネン</t>
    </rPh>
    <rPh sb="2" eb="3">
      <t>ブン</t>
    </rPh>
    <rPh sb="5" eb="8">
      <t>ショウキャクヒ</t>
    </rPh>
    <rPh sb="8" eb="10">
      <t>ゴウケイ</t>
    </rPh>
    <phoneticPr fontId="5"/>
  </si>
  <si>
    <t>富田　城</t>
    <rPh sb="0" eb="1">
      <t>トミ</t>
    </rPh>
    <rPh sb="1" eb="2">
      <t>タ</t>
    </rPh>
    <phoneticPr fontId="90"/>
  </si>
  <si>
    <t>入力できません！</t>
    <rPh sb="0" eb="2">
      <t>ニュウリョク</t>
    </rPh>
    <phoneticPr fontId="5"/>
  </si>
  <si>
    <t>備品等購入費</t>
    <rPh sb="0" eb="2">
      <t>ビヒン</t>
    </rPh>
    <rPh sb="2" eb="3">
      <t>トウ</t>
    </rPh>
    <rPh sb="3" eb="6">
      <t>コウニュウヒ</t>
    </rPh>
    <phoneticPr fontId="5"/>
  </si>
  <si>
    <t>動力一輪車</t>
  </si>
  <si>
    <t>370</t>
  </si>
  <si>
    <t>協定参加者別所得細目表(各人別内訳）</t>
    <rPh sb="0" eb="2">
      <t>キョウテイ</t>
    </rPh>
    <rPh sb="2" eb="5">
      <t>サンカシャ</t>
    </rPh>
    <rPh sb="5" eb="6">
      <t>ベツ</t>
    </rPh>
    <rPh sb="6" eb="8">
      <t>ショトク</t>
    </rPh>
    <rPh sb="8" eb="10">
      <t>サイモク</t>
    </rPh>
    <rPh sb="10" eb="11">
      <t>ヒョウ</t>
    </rPh>
    <rPh sb="12" eb="14">
      <t>カクジン</t>
    </rPh>
    <rPh sb="14" eb="15">
      <t>ベツ</t>
    </rPh>
    <rPh sb="15" eb="17">
      <t>ウチワケ</t>
    </rPh>
    <phoneticPr fontId="5"/>
  </si>
  <si>
    <t>〇集落共同取組活動金</t>
    <rPh sb="1" eb="3">
      <t>シュウラク</t>
    </rPh>
    <rPh sb="7" eb="9">
      <t>カツドウ</t>
    </rPh>
    <rPh sb="9" eb="10">
      <t>キン</t>
    </rPh>
    <phoneticPr fontId="5"/>
  </si>
  <si>
    <t>上部の白い欄はすべて入力してください。最初に集落名、代表者、氏名を入力</t>
    <rPh sb="0" eb="2">
      <t>ジョウブ</t>
    </rPh>
    <rPh sb="3" eb="4">
      <t>シロ</t>
    </rPh>
    <rPh sb="5" eb="6">
      <t>ラン</t>
    </rPh>
    <rPh sb="10" eb="12">
      <t>ニュウリョク</t>
    </rPh>
    <rPh sb="19" eb="21">
      <t>サイショ</t>
    </rPh>
    <phoneticPr fontId="5"/>
  </si>
  <si>
    <t>備　　　　　考</t>
    <rPh sb="0" eb="1">
      <t>ビ</t>
    </rPh>
    <rPh sb="6" eb="7">
      <t>コウ</t>
    </rPh>
    <phoneticPr fontId="5"/>
  </si>
  <si>
    <t>報酬、手当て、出役賃金等</t>
    <rPh sb="0" eb="2">
      <t>ホウシュウ</t>
    </rPh>
    <rPh sb="3" eb="5">
      <t>テア</t>
    </rPh>
    <rPh sb="7" eb="8">
      <t>デ</t>
    </rPh>
    <rPh sb="8" eb="9">
      <t>ヤク</t>
    </rPh>
    <rPh sb="9" eb="11">
      <t>チンギン</t>
    </rPh>
    <rPh sb="11" eb="12">
      <t>トウ</t>
    </rPh>
    <phoneticPr fontId="5"/>
  </si>
  <si>
    <t>（a)－（ｂ）</t>
  </si>
  <si>
    <t>（１）配分総額</t>
    <rPh sb="3" eb="5">
      <t>ハイブン</t>
    </rPh>
    <rPh sb="5" eb="7">
      <t>ソウガク</t>
    </rPh>
    <phoneticPr fontId="5"/>
  </si>
  <si>
    <t/>
  </si>
  <si>
    <t>合計</t>
    <rPh sb="0" eb="2">
      <t>ゴウケイ</t>
    </rPh>
    <phoneticPr fontId="5"/>
  </si>
  <si>
    <t>490</t>
  </si>
  <si>
    <t>A.役員報酬</t>
    <rPh sb="2" eb="4">
      <t>ヤクイン</t>
    </rPh>
    <rPh sb="4" eb="6">
      <t>ホウシュウ</t>
    </rPh>
    <phoneticPr fontId="5"/>
  </si>
  <si>
    <t>水利組合負担金</t>
    <rPh sb="0" eb="2">
      <t>スイリ</t>
    </rPh>
    <rPh sb="2" eb="4">
      <t>クミアイ</t>
    </rPh>
    <rPh sb="4" eb="7">
      <t>フタンキン</t>
    </rPh>
    <phoneticPr fontId="89"/>
  </si>
  <si>
    <t>C.道・水路管理費</t>
    <rPh sb="2" eb="3">
      <t>ミチ</t>
    </rPh>
    <rPh sb="4" eb="6">
      <t>スイロ</t>
    </rPh>
    <rPh sb="6" eb="9">
      <t>カンリヒ</t>
    </rPh>
    <phoneticPr fontId="5"/>
  </si>
  <si>
    <t>食料費</t>
    <rPh sb="0" eb="2">
      <t>ショクリョウ</t>
    </rPh>
    <rPh sb="2" eb="3">
      <t>ヒ</t>
    </rPh>
    <phoneticPr fontId="5"/>
  </si>
  <si>
    <t>D.農地管理費</t>
    <rPh sb="2" eb="4">
      <t>ノウチ</t>
    </rPh>
    <rPh sb="4" eb="7">
      <t>カンリヒ</t>
    </rPh>
    <phoneticPr fontId="5"/>
  </si>
  <si>
    <t>E.鳥獣被害防止対策</t>
    <rPh sb="2" eb="4">
      <t>チョウジュウ</t>
    </rPh>
    <rPh sb="4" eb="6">
      <t>ヒガイ</t>
    </rPh>
    <rPh sb="6" eb="8">
      <t>ボウシ</t>
    </rPh>
    <rPh sb="8" eb="10">
      <t>タイサク</t>
    </rPh>
    <phoneticPr fontId="5"/>
  </si>
  <si>
    <t>集落協定名：</t>
    <rPh sb="0" eb="2">
      <t>シュウラク</t>
    </rPh>
    <rPh sb="2" eb="4">
      <t>キョウテイ</t>
    </rPh>
    <rPh sb="4" eb="5">
      <t>メイ</t>
    </rPh>
    <phoneticPr fontId="5"/>
  </si>
  <si>
    <t>共用資産管理台帳</t>
    <rPh sb="0" eb="2">
      <t>キョウヨウ</t>
    </rPh>
    <rPh sb="2" eb="4">
      <t>シサン</t>
    </rPh>
    <rPh sb="4" eb="6">
      <t>カンリ</t>
    </rPh>
    <rPh sb="6" eb="8">
      <t>ダイチョウ</t>
    </rPh>
    <phoneticPr fontId="5"/>
  </si>
  <si>
    <t>摘要</t>
    <rPh sb="0" eb="2">
      <t>テキヨウ</t>
    </rPh>
    <phoneticPr fontId="5"/>
  </si>
  <si>
    <t>資産の名称</t>
    <rPh sb="0" eb="2">
      <t>シサン</t>
    </rPh>
    <rPh sb="3" eb="5">
      <t>メイショウ</t>
    </rPh>
    <phoneticPr fontId="5"/>
  </si>
  <si>
    <t>G.共同利用施設等費</t>
    <rPh sb="2" eb="4">
      <t>キョウドウ</t>
    </rPh>
    <rPh sb="4" eb="6">
      <t>リヨウ</t>
    </rPh>
    <rPh sb="6" eb="9">
      <t>シセツナド</t>
    </rPh>
    <rPh sb="9" eb="10">
      <t>ヒ</t>
    </rPh>
    <phoneticPr fontId="5"/>
  </si>
  <si>
    <t>H.多面的機能増進活動費</t>
    <rPh sb="2" eb="5">
      <t>タメンテキ</t>
    </rPh>
    <rPh sb="5" eb="7">
      <t>キノウ</t>
    </rPh>
    <rPh sb="7" eb="9">
      <t>ゾウシン</t>
    </rPh>
    <rPh sb="9" eb="11">
      <t>カツドウ</t>
    </rPh>
    <rPh sb="11" eb="12">
      <t>ヒ</t>
    </rPh>
    <phoneticPr fontId="5"/>
  </si>
  <si>
    <t>耐用年数</t>
    <rPh sb="0" eb="4">
      <t>タイヨウネンスウ</t>
    </rPh>
    <phoneticPr fontId="5"/>
  </si>
  <si>
    <t>690</t>
  </si>
  <si>
    <t>高齢者デマンドバス賃金</t>
    <rPh sb="0" eb="3">
      <t>コウレイシャ</t>
    </rPh>
    <rPh sb="9" eb="11">
      <t>チンギン</t>
    </rPh>
    <phoneticPr fontId="5"/>
  </si>
  <si>
    <t>合計.C</t>
  </si>
  <si>
    <t>小作料・賃借料</t>
    <rPh sb="0" eb="3">
      <t>コサクリョウ</t>
    </rPh>
    <rPh sb="4" eb="7">
      <t>チンシャクリョウ</t>
    </rPh>
    <phoneticPr fontId="5"/>
  </si>
  <si>
    <t>動力耕運機（大型）</t>
  </si>
  <si>
    <t>利子割引料</t>
    <rPh sb="0" eb="2">
      <t>リシ</t>
    </rPh>
    <rPh sb="2" eb="3">
      <t>ワ</t>
    </rPh>
    <rPh sb="3" eb="4">
      <t>ヒ</t>
    </rPh>
    <rPh sb="4" eb="5">
      <t>リョウ</t>
    </rPh>
    <phoneticPr fontId="5"/>
  </si>
  <si>
    <t>経費支出額合計</t>
    <rPh sb="0" eb="2">
      <t>ケイヒ</t>
    </rPh>
    <rPh sb="2" eb="4">
      <t>シシュツ</t>
    </rPh>
    <rPh sb="4" eb="5">
      <t>ガク</t>
    </rPh>
    <rPh sb="5" eb="7">
      <t>ゴウケイ</t>
    </rPh>
    <phoneticPr fontId="5"/>
  </si>
  <si>
    <t>判定日</t>
    <rPh sb="0" eb="2">
      <t>ハンテイ</t>
    </rPh>
    <rPh sb="2" eb="3">
      <t>ビ</t>
    </rPh>
    <phoneticPr fontId="5"/>
  </si>
  <si>
    <t>種苗費</t>
    <rPh sb="0" eb="2">
      <t>シュビョウ</t>
    </rPh>
    <rPh sb="2" eb="3">
      <t>ヒ</t>
    </rPh>
    <phoneticPr fontId="5"/>
  </si>
  <si>
    <t>010</t>
  </si>
  <si>
    <t>共同利用施設整備等費</t>
  </si>
  <si>
    <t>素畜費</t>
    <rPh sb="0" eb="1">
      <t>ソ</t>
    </rPh>
    <rPh sb="1" eb="2">
      <t>チク</t>
    </rPh>
    <rPh sb="2" eb="3">
      <t>ヒ</t>
    </rPh>
    <phoneticPr fontId="5"/>
  </si>
  <si>
    <t>集落協定における土地利用調整に係る経費（利用権の設定、農作業の委託費等</t>
  </si>
  <si>
    <t>肥料費</t>
    <rPh sb="0" eb="2">
      <t>ヒリョウ</t>
    </rPh>
    <rPh sb="2" eb="3">
      <t>ヒ</t>
    </rPh>
    <phoneticPr fontId="5"/>
  </si>
  <si>
    <t>その他農業用家屋</t>
  </si>
  <si>
    <t>諸材料費</t>
    <rPh sb="0" eb="1">
      <t>ショ</t>
    </rPh>
    <rPh sb="1" eb="3">
      <t>ザイリョウ</t>
    </rPh>
    <rPh sb="3" eb="4">
      <t>ヒ</t>
    </rPh>
    <phoneticPr fontId="5"/>
  </si>
  <si>
    <t>大型乾燥機</t>
  </si>
  <si>
    <t>●堆きゅう肥の施肥</t>
  </si>
  <si>
    <t>500</t>
  </si>
  <si>
    <t>加工所ガス・電気・水道料</t>
  </si>
  <si>
    <t>協   定   名：</t>
    <rPh sb="0" eb="1">
      <t>キョウ</t>
    </rPh>
    <rPh sb="4" eb="5">
      <t>テイ</t>
    </rPh>
    <rPh sb="8" eb="9">
      <t>メイ</t>
    </rPh>
    <phoneticPr fontId="5"/>
  </si>
  <si>
    <t>中山間地域等直接支払交付金</t>
  </si>
  <si>
    <t>作業用衣料費</t>
    <rPh sb="0" eb="3">
      <t>サギョウヨウ</t>
    </rPh>
    <rPh sb="3" eb="5">
      <t>イリョウ</t>
    </rPh>
    <rPh sb="5" eb="6">
      <t>ヒ</t>
    </rPh>
    <phoneticPr fontId="5"/>
  </si>
  <si>
    <t>土地改良費</t>
    <rPh sb="0" eb="2">
      <t>トチ</t>
    </rPh>
    <rPh sb="2" eb="4">
      <t>カイリョウ</t>
    </rPh>
    <rPh sb="4" eb="5">
      <t>ヒ</t>
    </rPh>
    <phoneticPr fontId="5"/>
  </si>
  <si>
    <t>（８）報酬、手当て、出役賃金⑨入力。</t>
    <rPh sb="3" eb="5">
      <t>ホウシュウ</t>
    </rPh>
    <rPh sb="6" eb="8">
      <t>テア</t>
    </rPh>
    <rPh sb="10" eb="11">
      <t>シュツ</t>
    </rPh>
    <rPh sb="11" eb="12">
      <t>エキ</t>
    </rPh>
    <rPh sb="12" eb="14">
      <t>チンギン</t>
    </rPh>
    <rPh sb="15" eb="17">
      <t>ニュウリョク</t>
    </rPh>
    <phoneticPr fontId="5"/>
  </si>
  <si>
    <t>動力耕運機</t>
  </si>
  <si>
    <t>穀物計量器</t>
  </si>
  <si>
    <t>雇人費（作業賃金）</t>
    <rPh sb="0" eb="1">
      <t>ヤトイ</t>
    </rPh>
    <rPh sb="1" eb="2">
      <t>ジン</t>
    </rPh>
    <rPh sb="2" eb="3">
      <t>ヒ</t>
    </rPh>
    <rPh sb="4" eb="6">
      <t>サギョウ</t>
    </rPh>
    <rPh sb="6" eb="8">
      <t>チンギン</t>
    </rPh>
    <phoneticPr fontId="5"/>
  </si>
  <si>
    <t>　　選択している活動項目について，実施状況（目標が達成されている場合は達成状況）を記載してください。</t>
    <rPh sb="2" eb="4">
      <t>センタク</t>
    </rPh>
    <rPh sb="8" eb="10">
      <t>カツドウ</t>
    </rPh>
    <rPh sb="10" eb="12">
      <t>コウモク</t>
    </rPh>
    <rPh sb="17" eb="19">
      <t>ジッシ</t>
    </rPh>
    <rPh sb="19" eb="21">
      <t>ジョウキョウ</t>
    </rPh>
    <rPh sb="22" eb="24">
      <t>モクヒョウ</t>
    </rPh>
    <rPh sb="25" eb="27">
      <t>タッセイ</t>
    </rPh>
    <rPh sb="32" eb="34">
      <t>バアイ</t>
    </rPh>
    <rPh sb="35" eb="37">
      <t>タッセイ</t>
    </rPh>
    <rPh sb="37" eb="39">
      <t>ジョウキョウ</t>
    </rPh>
    <rPh sb="41" eb="43">
      <t>キサイ</t>
    </rPh>
    <phoneticPr fontId="5"/>
  </si>
  <si>
    <t>雑費（事務費等）</t>
    <rPh sb="0" eb="2">
      <t>ザッピ</t>
    </rPh>
    <rPh sb="3" eb="5">
      <t>ジム</t>
    </rPh>
    <rPh sb="5" eb="6">
      <t>ヒ</t>
    </rPh>
    <rPh sb="6" eb="7">
      <t>ナド</t>
    </rPh>
    <phoneticPr fontId="5"/>
  </si>
  <si>
    <t>（a）</t>
  </si>
  <si>
    <t>通信費</t>
    <rPh sb="0" eb="3">
      <t>ツウシンヒ</t>
    </rPh>
    <phoneticPr fontId="5"/>
  </si>
  <si>
    <t>○</t>
  </si>
  <si>
    <t>報償費・謝金</t>
    <rPh sb="0" eb="2">
      <t>ホウショウ</t>
    </rPh>
    <rPh sb="2" eb="3">
      <t>ヒ</t>
    </rPh>
    <rPh sb="4" eb="6">
      <t>シャキン</t>
    </rPh>
    <phoneticPr fontId="5"/>
  </si>
  <si>
    <t>330</t>
  </si>
  <si>
    <t>備品等購入費</t>
    <rPh sb="0" eb="3">
      <t>ビヒントウ</t>
    </rPh>
    <rPh sb="3" eb="6">
      <t>コウニュウヒ</t>
    </rPh>
    <phoneticPr fontId="5"/>
  </si>
  <si>
    <t>交通費</t>
    <rPh sb="0" eb="3">
      <t>コウツウヒ</t>
    </rPh>
    <phoneticPr fontId="5"/>
  </si>
  <si>
    <t>③農作業の共同化又は受委託等が必要となる範囲</t>
  </si>
  <si>
    <t>550</t>
  </si>
  <si>
    <t>食料費</t>
    <rPh sb="0" eb="3">
      <t>ショクリョウヒ</t>
    </rPh>
    <phoneticPr fontId="5"/>
  </si>
  <si>
    <t>ポンプ類</t>
  </si>
  <si>
    <t>合　　　　計</t>
  </si>
  <si>
    <t>動力光熱費</t>
    <rPh sb="0" eb="2">
      <t>ドウリョク</t>
    </rPh>
    <rPh sb="2" eb="4">
      <t>コウネツ</t>
    </rPh>
    <rPh sb="4" eb="5">
      <t>ヒ</t>
    </rPh>
    <phoneticPr fontId="5"/>
  </si>
  <si>
    <t>雇人費（作業賃金）</t>
    <rPh sb="0" eb="1">
      <t>ヤト</t>
    </rPh>
    <rPh sb="1" eb="2">
      <t>ヒト</t>
    </rPh>
    <rPh sb="2" eb="3">
      <t>ヒ</t>
    </rPh>
    <rPh sb="4" eb="6">
      <t>サギョウ</t>
    </rPh>
    <rPh sb="6" eb="8">
      <t>チンギン</t>
    </rPh>
    <phoneticPr fontId="5"/>
  </si>
  <si>
    <t>340</t>
  </si>
  <si>
    <t>協定名：</t>
    <rPh sb="0" eb="2">
      <t>キョウテイ</t>
    </rPh>
    <rPh sb="2" eb="3">
      <t>メイ</t>
    </rPh>
    <phoneticPr fontId="5"/>
  </si>
  <si>
    <t>代表、事務局長、会計 @40,000×3人</t>
  </si>
  <si>
    <t>D</t>
  </si>
  <si>
    <t>収支項目</t>
    <rPh sb="0" eb="2">
      <t>シュウシ</t>
    </rPh>
    <rPh sb="2" eb="4">
      <t>コウモク</t>
    </rPh>
    <phoneticPr fontId="5"/>
  </si>
  <si>
    <t>面積（㎡）</t>
    <rPh sb="0" eb="2">
      <t>メンセキ</t>
    </rPh>
    <phoneticPr fontId="5"/>
  </si>
  <si>
    <t>諸材料費</t>
    <rPh sb="0" eb="1">
      <t>ショ</t>
    </rPh>
    <rPh sb="1" eb="4">
      <t>ザイリョウヒ</t>
    </rPh>
    <phoneticPr fontId="5"/>
  </si>
  <si>
    <t>雑費（事務費等）</t>
    <rPh sb="0" eb="2">
      <t>ザッピ</t>
    </rPh>
    <rPh sb="3" eb="6">
      <t>ジムヒ</t>
    </rPh>
    <rPh sb="6" eb="7">
      <t>トウ</t>
    </rPh>
    <phoneticPr fontId="5"/>
  </si>
  <si>
    <t>報償金・謝金</t>
    <rPh sb="0" eb="2">
      <t>ホウショウ</t>
    </rPh>
    <rPh sb="2" eb="3">
      <t>キン</t>
    </rPh>
    <rPh sb="4" eb="6">
      <t>シャキン</t>
    </rPh>
    <phoneticPr fontId="5"/>
  </si>
  <si>
    <t>個人が経費として算入する減価償却費</t>
    <rPh sb="0" eb="2">
      <t>コジン</t>
    </rPh>
    <rPh sb="3" eb="5">
      <t>ケイヒ</t>
    </rPh>
    <rPh sb="8" eb="10">
      <t>サンニュウ</t>
    </rPh>
    <rPh sb="12" eb="14">
      <t>ゲンカ</t>
    </rPh>
    <rPh sb="14" eb="17">
      <t>ショウキャクヒ</t>
    </rPh>
    <phoneticPr fontId="5"/>
  </si>
  <si>
    <t xml:space="preserve">農地の維持
管理
耕作放棄地
防止対策
</t>
  </si>
  <si>
    <t>農産物等の販売促進関係費</t>
  </si>
  <si>
    <t>支払先等</t>
    <rPh sb="0" eb="2">
      <t>シハライ</t>
    </rPh>
    <rPh sb="2" eb="3">
      <t>サキ</t>
    </rPh>
    <rPh sb="3" eb="4">
      <t>トウ</t>
    </rPh>
    <phoneticPr fontId="5"/>
  </si>
  <si>
    <t>　３　協定に基づく共同活動等の実績</t>
    <rPh sb="3" eb="5">
      <t>キョウテイ</t>
    </rPh>
    <rPh sb="6" eb="7">
      <t>モト</t>
    </rPh>
    <rPh sb="9" eb="11">
      <t>キョウドウ</t>
    </rPh>
    <rPh sb="11" eb="14">
      <t>カツドウトウ</t>
    </rPh>
    <rPh sb="15" eb="17">
      <t>ジッセキ</t>
    </rPh>
    <phoneticPr fontId="5"/>
  </si>
  <si>
    <t>A</t>
  </si>
  <si>
    <t>（１）本年中に購入した減価償却資産（大型農機具等）</t>
    <rPh sb="3" eb="6">
      <t>ホンネンチュウ</t>
    </rPh>
    <rPh sb="7" eb="9">
      <t>コウニュウ</t>
    </rPh>
    <rPh sb="11" eb="13">
      <t>ゲンカ</t>
    </rPh>
    <rPh sb="13" eb="15">
      <t>ショウキャク</t>
    </rPh>
    <rPh sb="15" eb="17">
      <t>シサン</t>
    </rPh>
    <rPh sb="18" eb="20">
      <t>オオガタ</t>
    </rPh>
    <rPh sb="20" eb="23">
      <t>ノウキグ</t>
    </rPh>
    <rPh sb="23" eb="24">
      <t>トウ</t>
    </rPh>
    <phoneticPr fontId="5"/>
  </si>
  <si>
    <t>B</t>
  </si>
  <si>
    <t>●共同防除</t>
    <rPh sb="1" eb="3">
      <t>キョウドウ</t>
    </rPh>
    <phoneticPr fontId="5"/>
  </si>
  <si>
    <t>E</t>
  </si>
  <si>
    <t>伯太急便</t>
    <rPh sb="0" eb="2">
      <t>ハクタ</t>
    </rPh>
    <rPh sb="2" eb="4">
      <t>キュウビン</t>
    </rPh>
    <phoneticPr fontId="5"/>
  </si>
  <si>
    <t>F</t>
  </si>
  <si>
    <t>580</t>
  </si>
  <si>
    <t>G</t>
  </si>
  <si>
    <t>④</t>
  </si>
  <si>
    <t>事業専用割合</t>
    <rPh sb="0" eb="2">
      <t>ジギョウ</t>
    </rPh>
    <rPh sb="2" eb="4">
      <t>センヨウ</t>
    </rPh>
    <rPh sb="4" eb="6">
      <t>ワリアイ</t>
    </rPh>
    <phoneticPr fontId="5"/>
  </si>
  <si>
    <t>〇</t>
  </si>
  <si>
    <t>H</t>
  </si>
  <si>
    <t>I</t>
  </si>
  <si>
    <t>J</t>
  </si>
  <si>
    <t>費目別集計</t>
    <rPh sb="0" eb="2">
      <t>ヒモク</t>
    </rPh>
    <rPh sb="2" eb="3">
      <t>ベツ</t>
    </rPh>
    <rPh sb="3" eb="5">
      <t>シュウケイ</t>
    </rPh>
    <phoneticPr fontId="5"/>
  </si>
  <si>
    <t>支出金額</t>
    <rPh sb="0" eb="2">
      <t>シシュツ</t>
    </rPh>
    <rPh sb="2" eb="4">
      <t>キンガク</t>
    </rPh>
    <phoneticPr fontId="5"/>
  </si>
  <si>
    <t>　（イ）取崩予定等</t>
    <rPh sb="4" eb="6">
      <t>トリクズシ</t>
    </rPh>
    <rPh sb="6" eb="8">
      <t>ヨテイ</t>
    </rPh>
    <rPh sb="8" eb="9">
      <t>トウ</t>
    </rPh>
    <phoneticPr fontId="5"/>
  </si>
  <si>
    <t>①減価償却費参入の内訳</t>
  </si>
  <si>
    <t>※費目コードの入力は１～26の数値を使用！入力は半角数字で！！</t>
    <rPh sb="1" eb="3">
      <t>ヒモク</t>
    </rPh>
    <rPh sb="7" eb="9">
      <t>ニュウリョク</t>
    </rPh>
    <rPh sb="15" eb="17">
      <t>スウチ</t>
    </rPh>
    <rPh sb="18" eb="20">
      <t>シヨウ</t>
    </rPh>
    <rPh sb="21" eb="23">
      <t>ニュウリョク</t>
    </rPh>
    <rPh sb="24" eb="26">
      <t>ハンカク</t>
    </rPh>
    <rPh sb="26" eb="28">
      <t>スウジ</t>
    </rPh>
    <phoneticPr fontId="5"/>
  </si>
  <si>
    <t>道・水路管理費</t>
    <rPh sb="0" eb="1">
      <t>ミチ</t>
    </rPh>
    <rPh sb="2" eb="4">
      <t>スイロ</t>
    </rPh>
    <rPh sb="4" eb="7">
      <t>カンリヒ</t>
    </rPh>
    <phoneticPr fontId="5"/>
  </si>
  <si>
    <t>農地管理費</t>
    <rPh sb="0" eb="2">
      <t>ノウチ</t>
    </rPh>
    <rPh sb="2" eb="5">
      <t>カンリヒ</t>
    </rPh>
    <phoneticPr fontId="5"/>
  </si>
  <si>
    <t>共同利用機械購入等費</t>
    <rPh sb="0" eb="2">
      <t>キョウドウ</t>
    </rPh>
    <rPh sb="2" eb="4">
      <t>リヨウ</t>
    </rPh>
    <rPh sb="4" eb="6">
      <t>キカイ</t>
    </rPh>
    <rPh sb="6" eb="8">
      <t>コウニュウ</t>
    </rPh>
    <rPh sb="8" eb="9">
      <t>トウ</t>
    </rPh>
    <phoneticPr fontId="5"/>
  </si>
  <si>
    <t>購入額（円）</t>
    <rPh sb="0" eb="2">
      <t>コウニュウ</t>
    </rPh>
    <rPh sb="2" eb="3">
      <t>ガク</t>
    </rPh>
    <rPh sb="4" eb="5">
      <t>エン</t>
    </rPh>
    <phoneticPr fontId="5"/>
  </si>
  <si>
    <t>土地利用調整関係費</t>
    <rPh sb="0" eb="2">
      <t>トチ</t>
    </rPh>
    <rPh sb="2" eb="4">
      <t>リヨウ</t>
    </rPh>
    <rPh sb="4" eb="6">
      <t>チョウセイ</t>
    </rPh>
    <rPh sb="6" eb="9">
      <t>カンケイヒ</t>
    </rPh>
    <phoneticPr fontId="5"/>
  </si>
  <si>
    <t>※返還金</t>
    <rPh sb="1" eb="4">
      <t>ヘンカンキン</t>
    </rPh>
    <phoneticPr fontId="5"/>
  </si>
  <si>
    <t>本年交付金総額</t>
    <rPh sb="0" eb="2">
      <t>ホンネン</t>
    </rPh>
    <rPh sb="2" eb="5">
      <t>コウフキン</t>
    </rPh>
    <rPh sb="5" eb="7">
      <t>ソウガク</t>
    </rPh>
    <phoneticPr fontId="5"/>
  </si>
  <si>
    <t>生産性・収益
の向上対策</t>
  </si>
  <si>
    <t>減価償却資産の名称等</t>
    <rPh sb="0" eb="2">
      <t>ゲンカ</t>
    </rPh>
    <rPh sb="2" eb="4">
      <t>ショウキャク</t>
    </rPh>
    <rPh sb="4" eb="6">
      <t>シサン</t>
    </rPh>
    <rPh sb="7" eb="9">
      <t>メイショウ</t>
    </rPh>
    <rPh sb="9" eb="10">
      <t>トウ</t>
    </rPh>
    <phoneticPr fontId="5"/>
  </si>
  <si>
    <t>農地の●％で機械の共同利用を開始した。（令和●年度機械利用組合を設立済み）</t>
    <rPh sb="0" eb="2">
      <t>ノウチ</t>
    </rPh>
    <rPh sb="6" eb="8">
      <t>キカイ</t>
    </rPh>
    <rPh sb="9" eb="11">
      <t>キョウドウ</t>
    </rPh>
    <rPh sb="11" eb="13">
      <t>リヨウ</t>
    </rPh>
    <rPh sb="14" eb="16">
      <t>カイシ</t>
    </rPh>
    <rPh sb="20" eb="22">
      <t>レイワ</t>
    </rPh>
    <rPh sb="23" eb="25">
      <t>ネンド</t>
    </rPh>
    <rPh sb="25" eb="27">
      <t>キカイ</t>
    </rPh>
    <rPh sb="27" eb="29">
      <t>リヨウ</t>
    </rPh>
    <rPh sb="29" eb="31">
      <t>クミアイ</t>
    </rPh>
    <rPh sb="32" eb="34">
      <t>セツリツ</t>
    </rPh>
    <rPh sb="34" eb="35">
      <t>ズ</t>
    </rPh>
    <phoneticPr fontId="5"/>
  </si>
  <si>
    <t>償却の基礎になる金額</t>
    <rPh sb="0" eb="2">
      <t>ショウキャク</t>
    </rPh>
    <rPh sb="3" eb="5">
      <t>キソ</t>
    </rPh>
    <rPh sb="8" eb="10">
      <t>キンガク</t>
    </rPh>
    <phoneticPr fontId="5"/>
  </si>
  <si>
    <t>水門部品交換</t>
    <rPh sb="0" eb="2">
      <t>スイモン</t>
    </rPh>
    <rPh sb="2" eb="4">
      <t>ブヒン</t>
    </rPh>
    <rPh sb="4" eb="6">
      <t>コウカン</t>
    </rPh>
    <phoneticPr fontId="89"/>
  </si>
  <si>
    <t>償却率</t>
    <rPh sb="0" eb="3">
      <t>ショウキャクリツ</t>
    </rPh>
    <phoneticPr fontId="5"/>
  </si>
  <si>
    <t>特別償却費</t>
    <rPh sb="0" eb="2">
      <t>トクベツ</t>
    </rPh>
    <rPh sb="2" eb="4">
      <t>ショウキャク</t>
    </rPh>
    <rPh sb="4" eb="5">
      <t>ヒ</t>
    </rPh>
    <phoneticPr fontId="5"/>
  </si>
  <si>
    <t>前年からの繰越</t>
    <rPh sb="0" eb="2">
      <t>ゼンネン</t>
    </rPh>
    <rPh sb="5" eb="7">
      <t>クリコシ</t>
    </rPh>
    <phoneticPr fontId="5"/>
  </si>
  <si>
    <t>●伝統芸能・祭等の振興</t>
  </si>
  <si>
    <t>未償却残高（期末残高）</t>
    <rPh sb="0" eb="3">
      <t>ミショウキャク</t>
    </rPh>
    <rPh sb="3" eb="5">
      <t>ザンダカ</t>
    </rPh>
    <rPh sb="6" eb="8">
      <t>キマツ</t>
    </rPh>
    <rPh sb="8" eb="10">
      <t>ザンダカ</t>
    </rPh>
    <phoneticPr fontId="5"/>
  </si>
  <si>
    <t>出荷用のダンボールやテープの購入費、農協や市場等への運賃、手数料</t>
  </si>
  <si>
    <t>籾貯蔵庫</t>
  </si>
  <si>
    <t>減価償却費の計算</t>
    <rPh sb="0" eb="2">
      <t>ゲンカ</t>
    </rPh>
    <rPh sb="2" eb="5">
      <t>ショウキャクヒ</t>
    </rPh>
    <rPh sb="6" eb="8">
      <t>ケイサン</t>
    </rPh>
    <phoneticPr fontId="5"/>
  </si>
  <si>
    <t>トラクター</t>
  </si>
  <si>
    <t>ハーベスター</t>
  </si>
  <si>
    <t>個別経費算入額</t>
    <rPh sb="0" eb="2">
      <t>コベツ</t>
    </rPh>
    <rPh sb="2" eb="4">
      <t>ケイヒ</t>
    </rPh>
    <rPh sb="4" eb="6">
      <t>サンニュウ</t>
    </rPh>
    <rPh sb="6" eb="7">
      <t>ガク</t>
    </rPh>
    <phoneticPr fontId="5"/>
  </si>
  <si>
    <t>●（　　　　　　　　　）</t>
  </si>
  <si>
    <t>端数　　配分</t>
    <rPh sb="0" eb="2">
      <t>ハスウ</t>
    </rPh>
    <phoneticPr fontId="5"/>
  </si>
  <si>
    <t>（６）交付対象面積⑦を入力・・・必ず入力する必要はありません。</t>
    <rPh sb="3" eb="5">
      <t>コウフ</t>
    </rPh>
    <rPh sb="5" eb="7">
      <t>タイショウ</t>
    </rPh>
    <rPh sb="7" eb="9">
      <t>メンセキ</t>
    </rPh>
    <rPh sb="11" eb="13">
      <t>ニュウリョク</t>
    </rPh>
    <rPh sb="16" eb="17">
      <t>カナラ</t>
    </rPh>
    <rPh sb="18" eb="20">
      <t>ニュウリョク</t>
    </rPh>
    <rPh sb="22" eb="24">
      <t>ヒツヨウ</t>
    </rPh>
    <phoneticPr fontId="5"/>
  </si>
  <si>
    <t>実績</t>
    <rPh sb="0" eb="2">
      <t>ジッセキ</t>
    </rPh>
    <phoneticPr fontId="5"/>
  </si>
  <si>
    <t>償却費按分額</t>
    <rPh sb="0" eb="3">
      <t>ショウキャクヒ</t>
    </rPh>
    <rPh sb="3" eb="5">
      <t>アンブン</t>
    </rPh>
    <rPh sb="5" eb="6">
      <t>ガク</t>
    </rPh>
    <phoneticPr fontId="5"/>
  </si>
  <si>
    <t>トタンはり　</t>
  </si>
  <si>
    <t>必要経費　按分額</t>
    <rPh sb="0" eb="2">
      <t>ヒツヨウ</t>
    </rPh>
    <rPh sb="2" eb="4">
      <t>ケイヒ</t>
    </rPh>
    <rPh sb="5" eb="7">
      <t>アンブン</t>
    </rPh>
    <rPh sb="7" eb="8">
      <t>ガク</t>
    </rPh>
    <phoneticPr fontId="5"/>
  </si>
  <si>
    <t>480</t>
  </si>
  <si>
    <t>⑨</t>
  </si>
  <si>
    <t>費　目</t>
    <rPh sb="0" eb="1">
      <t>ヒ</t>
    </rPh>
    <rPh sb="2" eb="3">
      <t>メ</t>
    </rPh>
    <phoneticPr fontId="5"/>
  </si>
  <si>
    <t>（別表）交付金を利用して取得した減価償却資産における減価償却費の計算</t>
    <rPh sb="1" eb="3">
      <t>ベッピョウ</t>
    </rPh>
    <rPh sb="4" eb="7">
      <t>コウフキン</t>
    </rPh>
    <rPh sb="8" eb="10">
      <t>リヨウ</t>
    </rPh>
    <rPh sb="12" eb="14">
      <t>シュトク</t>
    </rPh>
    <rPh sb="16" eb="18">
      <t>ゲンカ</t>
    </rPh>
    <rPh sb="18" eb="20">
      <t>ショウキャク</t>
    </rPh>
    <rPh sb="20" eb="22">
      <t>シサン</t>
    </rPh>
    <rPh sb="26" eb="28">
      <t>ゲンカ</t>
    </rPh>
    <rPh sb="28" eb="31">
      <t>ショウキャクヒ</t>
    </rPh>
    <rPh sb="32" eb="34">
      <t>ケイサン</t>
    </rPh>
    <phoneticPr fontId="5"/>
  </si>
  <si>
    <t>説　明</t>
    <rPh sb="0" eb="1">
      <t>セツ</t>
    </rPh>
    <rPh sb="2" eb="3">
      <t>メイ</t>
    </rPh>
    <phoneticPr fontId="5"/>
  </si>
  <si>
    <t>小作料、機械の借料、共同施設等の使用料</t>
  </si>
  <si>
    <t>役員手当・出役賃金等</t>
    <rPh sb="9" eb="10">
      <t>トウ</t>
    </rPh>
    <phoneticPr fontId="5"/>
  </si>
  <si>
    <t>償却方法</t>
    <rPh sb="0" eb="2">
      <t>ショウキャク</t>
    </rPh>
    <rPh sb="2" eb="4">
      <t>ホウホウ</t>
    </rPh>
    <phoneticPr fontId="5"/>
  </si>
  <si>
    <t>〇返還金</t>
    <rPh sb="1" eb="4">
      <t>ヘンカンキン</t>
    </rPh>
    <phoneticPr fontId="5"/>
  </si>
  <si>
    <t>農業用の借入金に係る支払利息</t>
  </si>
  <si>
    <t>「2.支出明細」シートを入力</t>
    <rPh sb="3" eb="5">
      <t>シシュツ</t>
    </rPh>
    <rPh sb="5" eb="7">
      <t>メイサイ</t>
    </rPh>
    <rPh sb="12" eb="14">
      <t>ニュウリョク</t>
    </rPh>
    <phoneticPr fontId="5"/>
  </si>
  <si>
    <t>種もみ、苗類、種いも購入費</t>
  </si>
  <si>
    <t>その他</t>
  </si>
  <si>
    <t>共同取組
活動費</t>
    <rPh sb="0" eb="2">
      <t>キョウドウ</t>
    </rPh>
    <rPh sb="2" eb="4">
      <t>トリクミ</t>
    </rPh>
    <rPh sb="5" eb="7">
      <t>カツドウ</t>
    </rPh>
    <rPh sb="7" eb="8">
      <t>ヒ</t>
    </rPh>
    <phoneticPr fontId="5"/>
  </si>
  <si>
    <t>肥料の購入費</t>
  </si>
  <si>
    <t>940</t>
  </si>
  <si>
    <t>生産資材（ビニール、縄、支柱）等の購入費</t>
  </si>
  <si>
    <t>農業に使用した電気、水道、燃料費（ガソリン、軽油、混合油、灯油）</t>
  </si>
  <si>
    <t>農機具以外で集落の備品として後々まで残る物品（備品台帳を作ること）</t>
    <rPh sb="23" eb="25">
      <t>ビヒン</t>
    </rPh>
    <rPh sb="25" eb="27">
      <t>ダイチョウ</t>
    </rPh>
    <rPh sb="28" eb="29">
      <t>ツク</t>
    </rPh>
    <phoneticPr fontId="5"/>
  </si>
  <si>
    <t>農作業に使用した衣類、長靴、手袋、帽子等の購入費</t>
  </si>
  <si>
    <t>農業に係る共済掛金</t>
  </si>
  <si>
    <t>貯金利息</t>
    <rPh sb="0" eb="2">
      <t>チョキン</t>
    </rPh>
    <rPh sb="2" eb="4">
      <t>リソク</t>
    </rPh>
    <phoneticPr fontId="5"/>
  </si>
  <si>
    <t>刈払い機</t>
  </si>
  <si>
    <t>420</t>
  </si>
  <si>
    <t>（集落協定名：　　　　　　　）</t>
    <rPh sb="1" eb="3">
      <t>シュウラク</t>
    </rPh>
    <rPh sb="3" eb="5">
      <t>キョウテイ</t>
    </rPh>
    <rPh sb="5" eb="6">
      <t>メイ</t>
    </rPh>
    <phoneticPr fontId="5"/>
  </si>
  <si>
    <t>バス賃、電車賃等</t>
    <rPh sb="2" eb="3">
      <t>チン</t>
    </rPh>
    <rPh sb="4" eb="7">
      <t>デンシャチン</t>
    </rPh>
    <rPh sb="7" eb="8">
      <t>トウ</t>
    </rPh>
    <phoneticPr fontId="5"/>
  </si>
  <si>
    <t>I.土地利用調整関係費</t>
    <rPh sb="2" eb="4">
      <t>トチ</t>
    </rPh>
    <rPh sb="4" eb="6">
      <t>リヨウ</t>
    </rPh>
    <rPh sb="6" eb="8">
      <t>チョウセイ</t>
    </rPh>
    <rPh sb="8" eb="11">
      <t>カンケイヒ</t>
    </rPh>
    <phoneticPr fontId="5"/>
  </si>
  <si>
    <t>軍手</t>
    <rPh sb="0" eb="2">
      <t>グンテ</t>
    </rPh>
    <phoneticPr fontId="89"/>
  </si>
  <si>
    <t>上記の何れにもあてはまらないもの</t>
    <rPh sb="3" eb="4">
      <t>イズ</t>
    </rPh>
    <phoneticPr fontId="5"/>
  </si>
  <si>
    <t>共同作業時ジュース代</t>
    <rPh sb="0" eb="2">
      <t>キョウドウ</t>
    </rPh>
    <rPh sb="2" eb="4">
      <t>サギョウ</t>
    </rPh>
    <rPh sb="4" eb="5">
      <t>ジ</t>
    </rPh>
    <rPh sb="9" eb="10">
      <t>ダイ</t>
    </rPh>
    <phoneticPr fontId="89"/>
  </si>
  <si>
    <t>持分割合</t>
    <rPh sb="0" eb="2">
      <t>モチブン</t>
    </rPh>
    <rPh sb="2" eb="4">
      <t>ワリアイ</t>
    </rPh>
    <phoneticPr fontId="5"/>
  </si>
  <si>
    <t>作業に従事した雇人への賃金（出役賃金）等</t>
    <rPh sb="0" eb="2">
      <t>サギョウ</t>
    </rPh>
    <rPh sb="11" eb="13">
      <t>チンギン</t>
    </rPh>
    <rPh sb="14" eb="15">
      <t>デ</t>
    </rPh>
    <rPh sb="15" eb="16">
      <t>エキ</t>
    </rPh>
    <rPh sb="16" eb="18">
      <t>チンギン</t>
    </rPh>
    <phoneticPr fontId="5"/>
  </si>
  <si>
    <t>農業に係る固定資産税、不動産取得税、(軽)自動車税、水利組合費、部会費、農協組合費等</t>
  </si>
  <si>
    <t>合計.J</t>
    <rPh sb="0" eb="2">
      <t>ゴウケイ</t>
    </rPh>
    <phoneticPr fontId="5"/>
  </si>
  <si>
    <t>別紙４</t>
    <rPh sb="0" eb="2">
      <t>ベッシ</t>
    </rPh>
    <phoneticPr fontId="5"/>
  </si>
  <si>
    <t>高齢者見回りサービスを開始し、月●回の見守りを行った。</t>
    <rPh sb="23" eb="24">
      <t>オコナ</t>
    </rPh>
    <phoneticPr fontId="5"/>
  </si>
  <si>
    <t>会議・協定書に定めた計画に基づく研修・作業時等のお茶やジュース等</t>
    <rPh sb="0" eb="2">
      <t>カイギ</t>
    </rPh>
    <rPh sb="3" eb="5">
      <t>キョウテイ</t>
    </rPh>
    <rPh sb="5" eb="6">
      <t>ショ</t>
    </rPh>
    <rPh sb="7" eb="8">
      <t>サダ</t>
    </rPh>
    <rPh sb="10" eb="12">
      <t>ケイカク</t>
    </rPh>
    <rPh sb="13" eb="14">
      <t>モト</t>
    </rPh>
    <rPh sb="16" eb="18">
      <t>ケンシュウ</t>
    </rPh>
    <rPh sb="19" eb="21">
      <t>サギョウ</t>
    </rPh>
    <rPh sb="21" eb="22">
      <t>ジ</t>
    </rPh>
    <rPh sb="22" eb="23">
      <t>トウ</t>
    </rPh>
    <rPh sb="25" eb="26">
      <t>チャ</t>
    </rPh>
    <rPh sb="31" eb="32">
      <t>トウ</t>
    </rPh>
    <phoneticPr fontId="5"/>
  </si>
  <si>
    <t>保全管理地景観作物作付用コスモス種</t>
  </si>
  <si>
    <t>適用</t>
    <rPh sb="0" eb="2">
      <t>テキヨウ</t>
    </rPh>
    <phoneticPr fontId="5"/>
  </si>
  <si>
    <t>費目　　　コード</t>
    <rPh sb="0" eb="2">
      <t>ヒモク</t>
    </rPh>
    <phoneticPr fontId="5"/>
  </si>
  <si>
    <t>イ</t>
  </si>
  <si>
    <t>③(アを按分)</t>
    <rPh sb="4" eb="6">
      <t>アンブン</t>
    </rPh>
    <phoneticPr fontId="5"/>
  </si>
  <si>
    <t>⑦(イを按分)</t>
    <rPh sb="4" eb="6">
      <t>アンブン</t>
    </rPh>
    <phoneticPr fontId="5"/>
  </si>
  <si>
    <t>円　　市より「中山間地域等直接支払い交付金」として振り込まれた金額を入力。</t>
    <rPh sb="0" eb="1">
      <t>エン</t>
    </rPh>
    <rPh sb="3" eb="4">
      <t>シ</t>
    </rPh>
    <rPh sb="7" eb="8">
      <t>チュウ</t>
    </rPh>
    <rPh sb="8" eb="10">
      <t>サンカン</t>
    </rPh>
    <rPh sb="10" eb="12">
      <t>チイキ</t>
    </rPh>
    <rPh sb="12" eb="13">
      <t>トウ</t>
    </rPh>
    <rPh sb="13" eb="15">
      <t>チョクセツ</t>
    </rPh>
    <rPh sb="15" eb="17">
      <t>シハラ</t>
    </rPh>
    <rPh sb="18" eb="21">
      <t>コウフキン</t>
    </rPh>
    <rPh sb="25" eb="26">
      <t>フ</t>
    </rPh>
    <rPh sb="27" eb="28">
      <t>コ</t>
    </rPh>
    <rPh sb="31" eb="33">
      <t>キンガク</t>
    </rPh>
    <rPh sb="34" eb="36">
      <t>ニュウリョク</t>
    </rPh>
    <phoneticPr fontId="5"/>
  </si>
  <si>
    <t>○○商店</t>
    <rPh sb="2" eb="4">
      <t>ショウテン</t>
    </rPh>
    <phoneticPr fontId="5"/>
  </si>
  <si>
    <t>雇人費・報償費等計</t>
    <rPh sb="0" eb="1">
      <t>ヤトイ</t>
    </rPh>
    <rPh sb="1" eb="2">
      <t>ジン</t>
    </rPh>
    <rPh sb="2" eb="3">
      <t>ヒ</t>
    </rPh>
    <rPh sb="4" eb="6">
      <t>ホウショウ</t>
    </rPh>
    <rPh sb="6" eb="8">
      <t>ヒナド</t>
    </rPh>
    <rPh sb="8" eb="9">
      <t>ケイ</t>
    </rPh>
    <phoneticPr fontId="5"/>
  </si>
  <si>
    <t>荷造り運賃手数料</t>
    <rPh sb="0" eb="2">
      <t>ニヅク</t>
    </rPh>
    <rPh sb="3" eb="5">
      <t>ウンチン</t>
    </rPh>
    <rPh sb="5" eb="8">
      <t>テスウリョウ</t>
    </rPh>
    <phoneticPr fontId="5"/>
  </si>
  <si>
    <t>円　※預金利息を入力。無い場合は「0」を入力（課税対象外）</t>
    <rPh sb="0" eb="1">
      <t>エン</t>
    </rPh>
    <rPh sb="3" eb="5">
      <t>ヨキン</t>
    </rPh>
    <rPh sb="5" eb="7">
      <t>リソク</t>
    </rPh>
    <rPh sb="8" eb="10">
      <t>ニュウリョク</t>
    </rPh>
    <rPh sb="11" eb="12">
      <t>ナ</t>
    </rPh>
    <rPh sb="13" eb="15">
      <t>バアイ</t>
    </rPh>
    <rPh sb="20" eb="22">
      <t>ニュウリョク</t>
    </rPh>
    <rPh sb="23" eb="25">
      <t>カゼイ</t>
    </rPh>
    <rPh sb="25" eb="28">
      <t>タイショウガイ</t>
    </rPh>
    <phoneticPr fontId="5"/>
  </si>
  <si>
    <t>播種機</t>
  </si>
  <si>
    <t>※分子の数値の合計が100にならない場合があります。その場合右の過不足の欄に0.00以外の数値が、表示されます。分子が100になるように調整欄で調整してください。調整の際には「調整欄」の上に表示される数値を参考にしてください。</t>
    <rPh sb="1" eb="3">
      <t>ブンシ</t>
    </rPh>
    <rPh sb="4" eb="6">
      <t>スウチ</t>
    </rPh>
    <rPh sb="7" eb="9">
      <t>ゴウケイ</t>
    </rPh>
    <rPh sb="18" eb="20">
      <t>バアイ</t>
    </rPh>
    <rPh sb="28" eb="30">
      <t>バアイ</t>
    </rPh>
    <rPh sb="30" eb="31">
      <t>ミギ</t>
    </rPh>
    <rPh sb="32" eb="35">
      <t>カフソク</t>
    </rPh>
    <rPh sb="36" eb="37">
      <t>ラン</t>
    </rPh>
    <rPh sb="42" eb="44">
      <t>イガイ</t>
    </rPh>
    <rPh sb="45" eb="47">
      <t>スウチ</t>
    </rPh>
    <rPh sb="49" eb="51">
      <t>ヒョウジ</t>
    </rPh>
    <rPh sb="56" eb="58">
      <t>ブンシ</t>
    </rPh>
    <rPh sb="68" eb="70">
      <t>チョウセイ</t>
    </rPh>
    <rPh sb="70" eb="71">
      <t>ラン</t>
    </rPh>
    <rPh sb="72" eb="74">
      <t>チョウセイ</t>
    </rPh>
    <rPh sb="81" eb="83">
      <t>チョウセイ</t>
    </rPh>
    <rPh sb="84" eb="85">
      <t>サイ</t>
    </rPh>
    <rPh sb="88" eb="90">
      <t>チョウセイ</t>
    </rPh>
    <rPh sb="90" eb="91">
      <t>ラン</t>
    </rPh>
    <rPh sb="93" eb="94">
      <t>ウエ</t>
    </rPh>
    <rPh sb="95" eb="97">
      <t>ヒョウジ</t>
    </rPh>
    <rPh sb="100" eb="102">
      <t>スウチ</t>
    </rPh>
    <rPh sb="103" eb="105">
      <t>サンコウ</t>
    </rPh>
    <phoneticPr fontId="5"/>
  </si>
  <si>
    <t>合計.I</t>
    <rPh sb="0" eb="2">
      <t>ゴウケイ</t>
    </rPh>
    <phoneticPr fontId="5"/>
  </si>
  <si>
    <t>①個人配分額</t>
    <rPh sb="1" eb="3">
      <t>コジン</t>
    </rPh>
    <rPh sb="3" eb="5">
      <t>ハイブン</t>
    </rPh>
    <rPh sb="5" eb="6">
      <t>ガク</t>
    </rPh>
    <phoneticPr fontId="5"/>
  </si>
  <si>
    <t>項目の例示</t>
    <rPh sb="0" eb="2">
      <t>コウモク</t>
    </rPh>
    <rPh sb="3" eb="5">
      <t>レイジ</t>
    </rPh>
    <phoneticPr fontId="5"/>
  </si>
  <si>
    <t>J.法人設立関係</t>
    <rPh sb="2" eb="4">
      <t>ホウジン</t>
    </rPh>
    <rPh sb="4" eb="6">
      <t>セツリツ</t>
    </rPh>
    <rPh sb="6" eb="8">
      <t>カンケイ</t>
    </rPh>
    <phoneticPr fontId="5"/>
  </si>
  <si>
    <t>育苗機</t>
  </si>
  <si>
    <t>田植機（２条）</t>
  </si>
  <si>
    <t>耐用年数</t>
    <rPh sb="0" eb="2">
      <t>タイヨウ</t>
    </rPh>
    <rPh sb="2" eb="4">
      <t>ネンスウ</t>
    </rPh>
    <phoneticPr fontId="5"/>
  </si>
  <si>
    <t>返還金が発生した場合は⑤にその額を入力。</t>
    <rPh sb="0" eb="2">
      <t>ヘンカン</t>
    </rPh>
    <rPh sb="2" eb="3">
      <t>キン</t>
    </rPh>
    <rPh sb="4" eb="6">
      <t>ハッセイ</t>
    </rPh>
    <rPh sb="8" eb="10">
      <t>バアイ</t>
    </rPh>
    <rPh sb="15" eb="16">
      <t>ガク</t>
    </rPh>
    <rPh sb="17" eb="19">
      <t>ニュウリョク</t>
    </rPh>
    <phoneticPr fontId="5"/>
  </si>
  <si>
    <t>減価償却費計</t>
    <rPh sb="0" eb="2">
      <t>ゲンカ</t>
    </rPh>
    <rPh sb="2" eb="5">
      <t>ショウキャクヒ</t>
    </rPh>
    <rPh sb="5" eb="6">
      <t>ケイ</t>
    </rPh>
    <phoneticPr fontId="5"/>
  </si>
  <si>
    <t>（注）持分割合に係わる取得価格が10万円以上のものが償却の対象となります。</t>
    <rPh sb="1" eb="2">
      <t>チュウ</t>
    </rPh>
    <rPh sb="3" eb="5">
      <t>モチブン</t>
    </rPh>
    <rPh sb="5" eb="7">
      <t>ワリアイ</t>
    </rPh>
    <rPh sb="8" eb="9">
      <t>カカ</t>
    </rPh>
    <rPh sb="11" eb="13">
      <t>シュトク</t>
    </rPh>
    <rPh sb="13" eb="15">
      <t>カカク</t>
    </rPh>
    <rPh sb="18" eb="20">
      <t>マンエン</t>
    </rPh>
    <rPh sb="20" eb="22">
      <t>イジョウ</t>
    </rPh>
    <rPh sb="26" eb="28">
      <t>ショウキャク</t>
    </rPh>
    <rPh sb="29" eb="31">
      <t>タイショウ</t>
    </rPh>
    <phoneticPr fontId="5"/>
  </si>
  <si>
    <t>事務局</t>
    <rPh sb="0" eb="3">
      <t>ジムキョク</t>
    </rPh>
    <phoneticPr fontId="90"/>
  </si>
  <si>
    <t>トラクター、コンバイン、草刈機等購入費、共同機械修理費、燃料代、機械組合への助成費等</t>
  </si>
  <si>
    <t>収入金額</t>
    <rPh sb="0" eb="2">
      <t>シュウニュウ</t>
    </rPh>
    <rPh sb="2" eb="4">
      <t>キンガク</t>
    </rPh>
    <phoneticPr fontId="5"/>
  </si>
  <si>
    <t>項目</t>
    <rPh sb="0" eb="2">
      <t>コウモク</t>
    </rPh>
    <phoneticPr fontId="5"/>
  </si>
  <si>
    <t>第5期対策
積立額計</t>
    <rPh sb="0" eb="1">
      <t>ダイ</t>
    </rPh>
    <rPh sb="2" eb="3">
      <t>キ</t>
    </rPh>
    <rPh sb="3" eb="5">
      <t>タイサク</t>
    </rPh>
    <rPh sb="6" eb="8">
      <t>ツミタテ</t>
    </rPh>
    <rPh sb="8" eb="9">
      <t>ガク</t>
    </rPh>
    <rPh sb="9" eb="10">
      <t>ケイ</t>
    </rPh>
    <phoneticPr fontId="5"/>
  </si>
  <si>
    <t>530</t>
  </si>
  <si>
    <t>取得
年月</t>
    <rPh sb="0" eb="2">
      <t>シュトク</t>
    </rPh>
    <rPh sb="3" eb="5">
      <t>ネンゲツ</t>
    </rPh>
    <phoneticPr fontId="5"/>
  </si>
  <si>
    <t>○　繰越予定年度：令和7年度</t>
    <rPh sb="2" eb="4">
      <t>クリコシ</t>
    </rPh>
    <rPh sb="4" eb="6">
      <t>ヨテイ</t>
    </rPh>
    <rPh sb="6" eb="8">
      <t>ネンド</t>
    </rPh>
    <rPh sb="9" eb="11">
      <t>レイワ</t>
    </rPh>
    <rPh sb="12" eb="14">
      <t>ネンド</t>
    </rPh>
    <phoneticPr fontId="5"/>
  </si>
  <si>
    <t>燃料代</t>
    <rPh sb="0" eb="3">
      <t>ネンリョウダイ</t>
    </rPh>
    <phoneticPr fontId="5"/>
  </si>
  <si>
    <t>（b）</t>
  </si>
  <si>
    <t>650</t>
  </si>
  <si>
    <t>取得年月</t>
    <rPh sb="0" eb="2">
      <t>シュトク</t>
    </rPh>
    <rPh sb="2" eb="4">
      <t>ネンゲツ</t>
    </rPh>
    <phoneticPr fontId="5"/>
  </si>
  <si>
    <t>金額</t>
    <rPh sb="0" eb="2">
      <t>キンガク</t>
    </rPh>
    <phoneticPr fontId="5"/>
  </si>
  <si>
    <t>持分割合に係わる取得価格
（取得価格×持分）</t>
    <rPh sb="0" eb="2">
      <t>モチブン</t>
    </rPh>
    <rPh sb="2" eb="4">
      <t>ワリアイ</t>
    </rPh>
    <rPh sb="5" eb="6">
      <t>カカ</t>
    </rPh>
    <rPh sb="8" eb="10">
      <t>シュトク</t>
    </rPh>
    <rPh sb="10" eb="12">
      <t>カカク</t>
    </rPh>
    <rPh sb="14" eb="16">
      <t>シュトク</t>
    </rPh>
    <rPh sb="16" eb="18">
      <t>カカク</t>
    </rPh>
    <rPh sb="19" eb="21">
      <t>モチブン</t>
    </rPh>
    <phoneticPr fontId="5"/>
  </si>
  <si>
    <t>５年償却資産</t>
  </si>
  <si>
    <t>償却
計算</t>
    <rPh sb="0" eb="2">
      <t>ショウキャク</t>
    </rPh>
    <rPh sb="3" eb="5">
      <t>ケイサン</t>
    </rPh>
    <phoneticPr fontId="5"/>
  </si>
  <si>
    <t>使用割合
(％)</t>
    <rPh sb="0" eb="2">
      <t>シヨウ</t>
    </rPh>
    <rPh sb="2" eb="4">
      <t>ワリアイ</t>
    </rPh>
    <phoneticPr fontId="5"/>
  </si>
  <si>
    <t>個人配分</t>
    <rPh sb="0" eb="2">
      <t>コジン</t>
    </rPh>
    <rPh sb="2" eb="4">
      <t>ハイブン</t>
    </rPh>
    <phoneticPr fontId="5"/>
  </si>
  <si>
    <t>共同取組活動分</t>
  </si>
  <si>
    <t>様</t>
    <rPh sb="0" eb="1">
      <t>サマ</t>
    </rPh>
    <phoneticPr fontId="5"/>
  </si>
  <si>
    <t>金額（円）</t>
    <rPh sb="0" eb="2">
      <t>キンガク</t>
    </rPh>
    <rPh sb="3" eb="4">
      <t>エン</t>
    </rPh>
    <phoneticPr fontId="5"/>
  </si>
  <si>
    <t>標記に係るあなたの収支内訳書は下記のとおりになりましたので税務申告の際の資料としてください。</t>
    <rPh sb="0" eb="2">
      <t>ヒョウキ</t>
    </rPh>
    <rPh sb="3" eb="4">
      <t>カカ</t>
    </rPh>
    <rPh sb="9" eb="11">
      <t>シュウシ</t>
    </rPh>
    <rPh sb="11" eb="14">
      <t>ウチワケショ</t>
    </rPh>
    <rPh sb="15" eb="17">
      <t>カキ</t>
    </rPh>
    <rPh sb="29" eb="31">
      <t>ゼイム</t>
    </rPh>
    <rPh sb="31" eb="33">
      <t>シンコク</t>
    </rPh>
    <rPh sb="34" eb="35">
      <t>サイ</t>
    </rPh>
    <rPh sb="36" eb="38">
      <t>シリョウ</t>
    </rPh>
    <phoneticPr fontId="5"/>
  </si>
  <si>
    <t>円　※集落活動によって得た金額（農作物、加工品の販売等を入力。無い場合は「0」を入力</t>
    <rPh sb="0" eb="1">
      <t>エン</t>
    </rPh>
    <rPh sb="3" eb="5">
      <t>シュウラク</t>
    </rPh>
    <rPh sb="5" eb="7">
      <t>カツドウ</t>
    </rPh>
    <rPh sb="11" eb="12">
      <t>エ</t>
    </rPh>
    <rPh sb="13" eb="15">
      <t>キンガク</t>
    </rPh>
    <rPh sb="16" eb="19">
      <t>ノウサクモツ</t>
    </rPh>
    <rPh sb="20" eb="23">
      <t>カコウヒン</t>
    </rPh>
    <rPh sb="24" eb="26">
      <t>ハンバイ</t>
    </rPh>
    <rPh sb="26" eb="27">
      <t>トウ</t>
    </rPh>
    <rPh sb="28" eb="30">
      <t>ニュウリョク</t>
    </rPh>
    <rPh sb="31" eb="32">
      <t>ナ</t>
    </rPh>
    <rPh sb="33" eb="35">
      <t>バアイ</t>
    </rPh>
    <rPh sb="40" eb="42">
      <t>ニュウリョク</t>
    </rPh>
    <phoneticPr fontId="5"/>
  </si>
  <si>
    <t>（④+⑤）</t>
  </si>
  <si>
    <t>総会（茶菓子代）</t>
    <rPh sb="0" eb="2">
      <t>ソウカイ</t>
    </rPh>
    <rPh sb="3" eb="6">
      <t>チャガシ</t>
    </rPh>
    <rPh sb="6" eb="7">
      <t>ダイ</t>
    </rPh>
    <phoneticPr fontId="5"/>
  </si>
  <si>
    <t>○通帳残高</t>
    <rPh sb="1" eb="3">
      <t>ツウチョウ</t>
    </rPh>
    <rPh sb="3" eb="5">
      <t>ザンダカ</t>
    </rPh>
    <phoneticPr fontId="5"/>
  </si>
  <si>
    <t>660</t>
  </si>
  <si>
    <t>取崩額</t>
    <rPh sb="0" eb="2">
      <t>トリクズ</t>
    </rPh>
    <rPh sb="2" eb="3">
      <t>ガク</t>
    </rPh>
    <phoneticPr fontId="5"/>
  </si>
  <si>
    <t>支出</t>
    <rPh sb="0" eb="2">
      <t>シシュツ</t>
    </rPh>
    <phoneticPr fontId="5"/>
  </si>
  <si>
    <t>償却率</t>
    <rPh sb="0" eb="2">
      <t>ショウキャク</t>
    </rPh>
    <rPh sb="2" eb="3">
      <t>リツ</t>
    </rPh>
    <phoneticPr fontId="5"/>
  </si>
  <si>
    <t>470</t>
  </si>
  <si>
    <t>償却の基礎
となる金額</t>
    <rPh sb="0" eb="2">
      <t>ショウキャク</t>
    </rPh>
    <rPh sb="3" eb="5">
      <t>キソ</t>
    </rPh>
    <rPh sb="9" eb="11">
      <t>キンガク</t>
    </rPh>
    <phoneticPr fontId="5"/>
  </si>
  <si>
    <t>（注）　「差引所得金額」が農業所得の「雑収入」となります。（マイナスの場合は支出経費の雑費に計上してください）</t>
    <rPh sb="1" eb="2">
      <t>チュウ</t>
    </rPh>
    <rPh sb="5" eb="7">
      <t>サシヒキ</t>
    </rPh>
    <rPh sb="7" eb="9">
      <t>ショトク</t>
    </rPh>
    <rPh sb="9" eb="11">
      <t>キンガク</t>
    </rPh>
    <rPh sb="13" eb="15">
      <t>ノウギョウ</t>
    </rPh>
    <rPh sb="15" eb="17">
      <t>ショトク</t>
    </rPh>
    <rPh sb="19" eb="20">
      <t>ザツ</t>
    </rPh>
    <rPh sb="20" eb="22">
      <t>シュウニュウ</t>
    </rPh>
    <rPh sb="35" eb="37">
      <t>バアイ</t>
    </rPh>
    <rPh sb="38" eb="40">
      <t>シシュツ</t>
    </rPh>
    <rPh sb="40" eb="42">
      <t>ケイヒ</t>
    </rPh>
    <rPh sb="43" eb="45">
      <t>ザッピ</t>
    </rPh>
    <rPh sb="46" eb="48">
      <t>ケイジョウ</t>
    </rPh>
    <phoneticPr fontId="5"/>
  </si>
  <si>
    <t>稲わらカッター</t>
  </si>
  <si>
    <t>差引所得金額（申告必要額）</t>
    <rPh sb="7" eb="9">
      <t>シンコク</t>
    </rPh>
    <rPh sb="9" eb="12">
      <t>ヒツヨウガク</t>
    </rPh>
    <phoneticPr fontId="5"/>
  </si>
  <si>
    <t>設置場所</t>
    <rPh sb="0" eb="2">
      <t>セッチ</t>
    </rPh>
    <rPh sb="2" eb="4">
      <t>バショ</t>
    </rPh>
    <phoneticPr fontId="5"/>
  </si>
  <si>
    <t>次年繰越総額</t>
    <rPh sb="0" eb="1">
      <t>ジ</t>
    </rPh>
    <rPh sb="1" eb="2">
      <t>ネン</t>
    </rPh>
    <rPh sb="2" eb="4">
      <t>クリコシ</t>
    </rPh>
    <rPh sb="4" eb="5">
      <t>ソウ</t>
    </rPh>
    <rPh sb="5" eb="6">
      <t>ガク</t>
    </rPh>
    <phoneticPr fontId="5"/>
  </si>
  <si>
    <t>４年償却資産</t>
  </si>
  <si>
    <t>共同取組活動として支出した金額を協定者で按分したもの</t>
    <rPh sb="0" eb="2">
      <t>キョウドウ</t>
    </rPh>
    <rPh sb="2" eb="4">
      <t>トリクミ</t>
    </rPh>
    <rPh sb="4" eb="6">
      <t>カツドウ</t>
    </rPh>
    <rPh sb="9" eb="11">
      <t>シシュツ</t>
    </rPh>
    <rPh sb="13" eb="15">
      <t>キンガク</t>
    </rPh>
    <rPh sb="16" eb="18">
      <t>キョウテイ</t>
    </rPh>
    <rPh sb="18" eb="19">
      <t>シャ</t>
    </rPh>
    <rPh sb="20" eb="22">
      <t>アンブン</t>
    </rPh>
    <phoneticPr fontId="5"/>
  </si>
  <si>
    <t>広瀬石油</t>
    <rPh sb="0" eb="2">
      <t>ヒロセ</t>
    </rPh>
    <rPh sb="2" eb="4">
      <t>セキユ</t>
    </rPh>
    <phoneticPr fontId="5"/>
  </si>
  <si>
    <t>（９）按分率⑩入力</t>
  </si>
  <si>
    <t>年月日</t>
    <rPh sb="0" eb="3">
      <t>ネンガッピ</t>
    </rPh>
    <phoneticPr fontId="5"/>
  </si>
  <si>
    <t>内訳</t>
    <rPh sb="0" eb="2">
      <t>ウチワケ</t>
    </rPh>
    <phoneticPr fontId="5"/>
  </si>
  <si>
    <t>晴れ</t>
    <rPh sb="0" eb="1">
      <t>ハ</t>
    </rPh>
    <phoneticPr fontId="5"/>
  </si>
  <si>
    <t>共同取組活動支出額（経費外支出は除く）</t>
    <rPh sb="0" eb="2">
      <t>キョウドウ</t>
    </rPh>
    <rPh sb="2" eb="4">
      <t>トリクミ</t>
    </rPh>
    <rPh sb="4" eb="6">
      <t>カツドウ</t>
    </rPh>
    <rPh sb="10" eb="12">
      <t>ケイヒ</t>
    </rPh>
    <rPh sb="12" eb="13">
      <t>ガイ</t>
    </rPh>
    <rPh sb="13" eb="15">
      <t>シシュツ</t>
    </rPh>
    <rPh sb="16" eb="17">
      <t>ノゾ</t>
    </rPh>
    <phoneticPr fontId="5"/>
  </si>
  <si>
    <t>動力耕運機（普通）</t>
  </si>
  <si>
    <t>動力耕運機（小型）</t>
  </si>
  <si>
    <t>ポンプ</t>
  </si>
  <si>
    <t>田植機（４条以下）</t>
  </si>
  <si>
    <t>共同防除費</t>
    <rPh sb="0" eb="2">
      <t>キョウドウ</t>
    </rPh>
    <rPh sb="2" eb="4">
      <t>ボウジョ</t>
    </rPh>
    <rPh sb="4" eb="5">
      <t>ヒ</t>
    </rPh>
    <phoneticPr fontId="89"/>
  </si>
  <si>
    <t>奥安来水利組合</t>
    <rPh sb="3" eb="5">
      <t>スイリ</t>
    </rPh>
    <rPh sb="5" eb="7">
      <t>クミアイ</t>
    </rPh>
    <phoneticPr fontId="5"/>
  </si>
  <si>
    <t>穀類運搬機等</t>
  </si>
  <si>
    <t>社日　さくら</t>
    <rPh sb="0" eb="1">
      <t>シャ</t>
    </rPh>
    <rPh sb="1" eb="2">
      <t>ヒ</t>
    </rPh>
    <phoneticPr fontId="90"/>
  </si>
  <si>
    <t>(1)超急傾斜農地保全管理加算</t>
    <rPh sb="3" eb="4">
      <t>チョウ</t>
    </rPh>
    <rPh sb="4" eb="7">
      <t>キュウケイシャ</t>
    </rPh>
    <rPh sb="7" eb="9">
      <t>ノウチ</t>
    </rPh>
    <rPh sb="9" eb="11">
      <t>ホゼン</t>
    </rPh>
    <rPh sb="11" eb="13">
      <t>カンリ</t>
    </rPh>
    <rPh sb="13" eb="15">
      <t>カサン</t>
    </rPh>
    <phoneticPr fontId="5"/>
  </si>
  <si>
    <t>バインダー</t>
  </si>
  <si>
    <t>金額を入力すると自動計算します</t>
    <rPh sb="0" eb="2">
      <t>キンガク</t>
    </rPh>
    <rPh sb="3" eb="5">
      <t>ニュウリョク</t>
    </rPh>
    <rPh sb="8" eb="10">
      <t>ジドウ</t>
    </rPh>
    <rPh sb="10" eb="12">
      <t>ケイサン</t>
    </rPh>
    <phoneticPr fontId="5"/>
  </si>
  <si>
    <t>バインダー（１条）</t>
  </si>
  <si>
    <t>400</t>
  </si>
  <si>
    <t>112</t>
  </si>
  <si>
    <t>バインダー（２条）</t>
  </si>
  <si>
    <t>230</t>
  </si>
  <si>
    <t>ミスト機</t>
  </si>
  <si>
    <t>トラクター（２０馬力未満）</t>
  </si>
  <si>
    <t>除草機</t>
  </si>
  <si>
    <t>動力散粉機</t>
  </si>
  <si>
    <t>ブリッジ</t>
  </si>
  <si>
    <t>動力散布機</t>
  </si>
  <si>
    <t>動力草刈機</t>
  </si>
  <si>
    <t>草刈機</t>
  </si>
  <si>
    <t>(3)集落機能強化加算</t>
  </si>
  <si>
    <t>110</t>
  </si>
  <si>
    <t>電動機</t>
  </si>
  <si>
    <t>会計</t>
    <rPh sb="0" eb="2">
      <t>カイケイ</t>
    </rPh>
    <phoneticPr fontId="90"/>
  </si>
  <si>
    <t>米選機</t>
  </si>
  <si>
    <t>331－1番地　田　客土</t>
    <rPh sb="5" eb="7">
      <t>バンチ</t>
    </rPh>
    <rPh sb="8" eb="9">
      <t>タ</t>
    </rPh>
    <rPh sb="10" eb="12">
      <t>キャクド</t>
    </rPh>
    <phoneticPr fontId="89"/>
  </si>
  <si>
    <t>超急</t>
  </si>
  <si>
    <t>手動式肩掛噴霧器</t>
  </si>
  <si>
    <t>散粒機・散粉</t>
  </si>
  <si>
    <t>10人×＠3,000</t>
  </si>
  <si>
    <t>手押し一輪車</t>
  </si>
  <si>
    <t>溝切機</t>
  </si>
  <si>
    <t>グラインダー</t>
  </si>
  <si>
    <t>製粉機</t>
  </si>
  <si>
    <t>管理機</t>
  </si>
  <si>
    <t>結束機</t>
  </si>
  <si>
    <t>123</t>
  </si>
  <si>
    <t>ドライブハロー</t>
  </si>
  <si>
    <t>122</t>
  </si>
  <si>
    <t>内容</t>
    <rPh sb="0" eb="2">
      <t>ナイヨウ</t>
    </rPh>
    <phoneticPr fontId="5"/>
  </si>
  <si>
    <t>④その他将来にわたって適正に協定農用地を保全していくために必要となる事項に関する範囲</t>
  </si>
  <si>
    <t>代かき機等</t>
  </si>
  <si>
    <t>ぬき立て機</t>
  </si>
  <si>
    <t>すき</t>
  </si>
  <si>
    <t>防除機</t>
  </si>
  <si>
    <t>ロータリー</t>
  </si>
  <si>
    <t>共同利用機械購入</t>
    <rPh sb="0" eb="2">
      <t>キョウドウ</t>
    </rPh>
    <rPh sb="2" eb="4">
      <t>リヨウ</t>
    </rPh>
    <rPh sb="4" eb="6">
      <t>キカイ</t>
    </rPh>
    <rPh sb="6" eb="8">
      <t>コウニュウ</t>
    </rPh>
    <phoneticPr fontId="5"/>
  </si>
  <si>
    <t>広瀬石油</t>
  </si>
  <si>
    <t>農業用作業場</t>
  </si>
  <si>
    <t>農機具庫</t>
  </si>
  <si>
    <t>領収書を支出費目ごとに分類。（領収に番号1～２６の数字を記入）　        　　　　　　　</t>
    <rPh sb="0" eb="3">
      <t>リョウシュウショ</t>
    </rPh>
    <rPh sb="4" eb="6">
      <t>シシュツ</t>
    </rPh>
    <rPh sb="6" eb="8">
      <t>ヒモク</t>
    </rPh>
    <rPh sb="11" eb="13">
      <t>ブンルイ</t>
    </rPh>
    <rPh sb="18" eb="20">
      <t>バンゴウ</t>
    </rPh>
    <rPh sb="25" eb="27">
      <t>スウジ</t>
    </rPh>
    <rPh sb="28" eb="30">
      <t>キニュウ</t>
    </rPh>
    <phoneticPr fontId="5"/>
  </si>
  <si>
    <t>作業場等（鉄筋造）</t>
  </si>
  <si>
    <t>721</t>
  </si>
  <si>
    <t>作業場等（レンガ・ブロック造）</t>
  </si>
  <si>
    <t>運搬用器具</t>
  </si>
  <si>
    <t>１３年償却資産</t>
  </si>
  <si>
    <t>８年償却資産</t>
  </si>
  <si>
    <t>安来市○○町１２３</t>
  </si>
  <si>
    <t>面積又は数量</t>
    <rPh sb="0" eb="2">
      <t>メンセキ</t>
    </rPh>
    <rPh sb="2" eb="3">
      <t>マタ</t>
    </rPh>
    <rPh sb="4" eb="6">
      <t>スウリョウ</t>
    </rPh>
    <phoneticPr fontId="5"/>
  </si>
  <si>
    <t>●農業機械の共同化</t>
  </si>
  <si>
    <t>1/3</t>
  </si>
  <si>
    <t>定額</t>
    <rPh sb="0" eb="2">
      <t>テイガク</t>
    </rPh>
    <phoneticPr fontId="5"/>
  </si>
  <si>
    <t>460</t>
  </si>
  <si>
    <t>○○石油</t>
    <rPh sb="2" eb="4">
      <t>セキユ</t>
    </rPh>
    <phoneticPr fontId="5"/>
  </si>
  <si>
    <t>前年度
未償却残高</t>
    <rPh sb="0" eb="1">
      <t>マエ</t>
    </rPh>
    <rPh sb="1" eb="3">
      <t>ネンド</t>
    </rPh>
    <phoneticPr fontId="5"/>
  </si>
  <si>
    <t>132</t>
  </si>
  <si>
    <t>本年分の
必要経費
算入額</t>
    <rPh sb="0" eb="2">
      <t>ホンネン</t>
    </rPh>
    <rPh sb="2" eb="3">
      <t>ブン</t>
    </rPh>
    <rPh sb="5" eb="7">
      <t>ヒツヨウ</t>
    </rPh>
    <rPh sb="7" eb="9">
      <t>ケイヒ</t>
    </rPh>
    <rPh sb="10" eb="12">
      <t>サンニュウ</t>
    </rPh>
    <rPh sb="12" eb="13">
      <t>ガク</t>
    </rPh>
    <phoneticPr fontId="5"/>
  </si>
  <si>
    <t>本年分の
普通償却費</t>
    <rPh sb="0" eb="2">
      <t>ホンネン</t>
    </rPh>
    <rPh sb="2" eb="3">
      <t>ブン</t>
    </rPh>
    <rPh sb="5" eb="7">
      <t>フツウ</t>
    </rPh>
    <rPh sb="7" eb="9">
      <t>ショウキャク</t>
    </rPh>
    <rPh sb="9" eb="10">
      <t>ヒ</t>
    </rPh>
    <phoneticPr fontId="5"/>
  </si>
  <si>
    <t>　　　　　　　　</t>
  </si>
  <si>
    <t>資産</t>
  </si>
  <si>
    <t>旧償却率</t>
    <rPh sb="0" eb="1">
      <t>キュウ</t>
    </rPh>
    <rPh sb="1" eb="4">
      <t>ショウキャクリツ</t>
    </rPh>
    <phoneticPr fontId="5"/>
  </si>
  <si>
    <t>（４）集落共同取り組み活動金―按分の方法を入力</t>
    <rPh sb="3" eb="5">
      <t>シュウラク</t>
    </rPh>
    <rPh sb="5" eb="7">
      <t>キョウドウ</t>
    </rPh>
    <rPh sb="7" eb="8">
      <t>ト</t>
    </rPh>
    <rPh sb="9" eb="10">
      <t>ク</t>
    </rPh>
    <rPh sb="11" eb="13">
      <t>カツドウ</t>
    </rPh>
    <rPh sb="13" eb="14">
      <t>キン</t>
    </rPh>
    <rPh sb="15" eb="17">
      <t>アンブン</t>
    </rPh>
    <rPh sb="18" eb="20">
      <t>ホウホウ</t>
    </rPh>
    <rPh sb="21" eb="23">
      <t>ニュウリョク</t>
    </rPh>
    <phoneticPr fontId="5"/>
  </si>
  <si>
    <t>処分の内容</t>
    <rPh sb="0" eb="2">
      <t>ショブン</t>
    </rPh>
    <rPh sb="3" eb="5">
      <t>ナイヨウ</t>
    </rPh>
    <phoneticPr fontId="5"/>
  </si>
  <si>
    <t>動力運搬車</t>
  </si>
  <si>
    <t>短期共済掛け金</t>
    <rPh sb="0" eb="2">
      <t>タンキ</t>
    </rPh>
    <rPh sb="2" eb="4">
      <t>キョウサイ</t>
    </rPh>
    <rPh sb="4" eb="5">
      <t>カ</t>
    </rPh>
    <rPh sb="6" eb="7">
      <t>キン</t>
    </rPh>
    <phoneticPr fontId="89"/>
  </si>
  <si>
    <t>960</t>
  </si>
  <si>
    <t>113</t>
  </si>
  <si>
    <t>法人設立関係費</t>
  </si>
  <si>
    <t>田植機</t>
  </si>
  <si>
    <t>120</t>
  </si>
  <si>
    <t>次年度の取組、農道の舗装計画、離農者の管理農地の支援について</t>
    <rPh sb="0" eb="3">
      <t>ジネンド</t>
    </rPh>
    <rPh sb="4" eb="6">
      <t>トリクミ</t>
    </rPh>
    <rPh sb="7" eb="9">
      <t>ノウドウ</t>
    </rPh>
    <rPh sb="10" eb="12">
      <t>ホソウ</t>
    </rPh>
    <rPh sb="12" eb="14">
      <t>ケイカク</t>
    </rPh>
    <rPh sb="15" eb="18">
      <t>リノウシャ</t>
    </rPh>
    <rPh sb="19" eb="21">
      <t>カンリ</t>
    </rPh>
    <rPh sb="21" eb="23">
      <t>ノウチ</t>
    </rPh>
    <rPh sb="24" eb="26">
      <t>シエン</t>
    </rPh>
    <phoneticPr fontId="5"/>
  </si>
  <si>
    <t>680</t>
  </si>
  <si>
    <t>121</t>
  </si>
  <si>
    <t>222</t>
  </si>
  <si>
    <t>131</t>
  </si>
  <si>
    <t>こんにゃく送料（大阪市)</t>
  </si>
  <si>
    <t>140</t>
  </si>
  <si>
    <t>210</t>
  </si>
  <si>
    <t>221</t>
  </si>
  <si>
    <t>350</t>
  </si>
  <si>
    <t>尼子　晴久</t>
  </si>
  <si>
    <t>本年度実施状況（達成状況）</t>
    <rPh sb="0" eb="3">
      <t>ホンネンド</t>
    </rPh>
    <rPh sb="3" eb="5">
      <t>ジッシ</t>
    </rPh>
    <rPh sb="5" eb="7">
      <t>ジョウキョウ</t>
    </rPh>
    <rPh sb="8" eb="10">
      <t>タッセイ</t>
    </rPh>
    <rPh sb="10" eb="12">
      <t>ジョウキョウ</t>
    </rPh>
    <phoneticPr fontId="5"/>
  </si>
  <si>
    <t>360</t>
  </si>
  <si>
    <t>差し引き残金（次年度繰越金）</t>
  </si>
  <si>
    <t>380</t>
  </si>
  <si>
    <t>410</t>
  </si>
  <si>
    <t>430</t>
  </si>
  <si>
    <t>機能</t>
    <rPh sb="0" eb="2">
      <t>キノウ</t>
    </rPh>
    <phoneticPr fontId="5"/>
  </si>
  <si>
    <t>440</t>
  </si>
  <si>
    <t>450</t>
  </si>
  <si>
    <t>510</t>
  </si>
  <si>
    <t>活動項目</t>
  </si>
  <si>
    <t>520</t>
  </si>
  <si>
    <t>540</t>
  </si>
  <si>
    <t>560</t>
  </si>
  <si>
    <t>590</t>
  </si>
  <si>
    <t>600</t>
  </si>
  <si>
    <t>610</t>
  </si>
  <si>
    <t>620</t>
  </si>
  <si>
    <t>耕地面積により配分</t>
  </si>
  <si>
    <t>630</t>
  </si>
  <si>
    <t>640</t>
  </si>
  <si>
    <t>多面的機能
の維持対策</t>
  </si>
  <si>
    <t>700</t>
  </si>
  <si>
    <t>710</t>
  </si>
  <si>
    <t>720</t>
  </si>
  <si>
    <t>４月、６月、９月述べ40人×＠3,000</t>
    <rPh sb="1" eb="2">
      <t>ガツ</t>
    </rPh>
    <rPh sb="4" eb="5">
      <t>ガツ</t>
    </rPh>
    <rPh sb="7" eb="8">
      <t>ガツ</t>
    </rPh>
    <rPh sb="8" eb="9">
      <t>ノ</t>
    </rPh>
    <rPh sb="12" eb="13">
      <t>ニン</t>
    </rPh>
    <phoneticPr fontId="89"/>
  </si>
  <si>
    <t>722</t>
  </si>
  <si>
    <t>作業場等（木造）</t>
  </si>
  <si>
    <t>980</t>
  </si>
  <si>
    <t>多面的機能増進活動費</t>
  </si>
  <si>
    <t>724</t>
  </si>
  <si>
    <t>800</t>
  </si>
  <si>
    <t>　役員報酬や出役賃金、油代補助等、共同活動経費の中から実際に参加者個人へ支払われた全ての金額を入力してください。</t>
    <rPh sb="11" eb="12">
      <t>アブラ</t>
    </rPh>
    <rPh sb="12" eb="13">
      <t>ダイ</t>
    </rPh>
    <rPh sb="13" eb="15">
      <t>ホジョ</t>
    </rPh>
    <rPh sb="15" eb="16">
      <t>トウ</t>
    </rPh>
    <rPh sb="17" eb="19">
      <t>キョウドウ</t>
    </rPh>
    <rPh sb="19" eb="21">
      <t>カツドウ</t>
    </rPh>
    <rPh sb="21" eb="23">
      <t>ケイヒ</t>
    </rPh>
    <rPh sb="24" eb="25">
      <t>ナカ</t>
    </rPh>
    <rPh sb="30" eb="33">
      <t>サンカシャ</t>
    </rPh>
    <rPh sb="41" eb="42">
      <t>スベ</t>
    </rPh>
    <rPh sb="44" eb="46">
      <t>キンガク</t>
    </rPh>
    <phoneticPr fontId="5"/>
  </si>
  <si>
    <t>生産物のPRのためのパンフレット作成し、消費者へ周知する。</t>
    <rPh sb="0" eb="3">
      <t>セイサンブツ</t>
    </rPh>
    <rPh sb="16" eb="18">
      <t>サクセイ</t>
    </rPh>
    <rPh sb="20" eb="23">
      <t>ショウヒシャ</t>
    </rPh>
    <rPh sb="24" eb="26">
      <t>シュウチ</t>
    </rPh>
    <phoneticPr fontId="5"/>
  </si>
  <si>
    <t>920</t>
  </si>
  <si>
    <t>950</t>
  </si>
  <si>
    <t>100,000円×10人</t>
    <rPh sb="3" eb="8">
      <t>０００エン</t>
    </rPh>
    <rPh sb="11" eb="12">
      <t>ニン</t>
    </rPh>
    <phoneticPr fontId="5"/>
  </si>
  <si>
    <t>990</t>
  </si>
  <si>
    <t>（３）個人配分額―個人配分の方法を入力。</t>
    <rPh sb="3" eb="5">
      <t>コジン</t>
    </rPh>
    <rPh sb="5" eb="7">
      <t>ハイブン</t>
    </rPh>
    <rPh sb="7" eb="8">
      <t>ガク</t>
    </rPh>
    <rPh sb="9" eb="11">
      <t>コジン</t>
    </rPh>
    <rPh sb="11" eb="13">
      <t>ハイブン</t>
    </rPh>
    <rPh sb="14" eb="16">
      <t>ホウホウ</t>
    </rPh>
    <rPh sb="17" eb="19">
      <t>ニュウリョク</t>
    </rPh>
    <phoneticPr fontId="5"/>
  </si>
  <si>
    <t>（２）集落収入欄を入力②</t>
    <rPh sb="3" eb="5">
      <t>シュウラク</t>
    </rPh>
    <rPh sb="5" eb="7">
      <t>シュウニュウ</t>
    </rPh>
    <rPh sb="7" eb="8">
      <t>ラン</t>
    </rPh>
    <rPh sb="9" eb="11">
      <t>ニュウリョク</t>
    </rPh>
    <phoneticPr fontId="5"/>
  </si>
  <si>
    <t>（１）集落交付金残高欄を入力①</t>
    <rPh sb="3" eb="5">
      <t>シュウラク</t>
    </rPh>
    <rPh sb="5" eb="8">
      <t>コウフキン</t>
    </rPh>
    <rPh sb="8" eb="10">
      <t>ザンダカ</t>
    </rPh>
    <rPh sb="10" eb="11">
      <t>ラン</t>
    </rPh>
    <rPh sb="12" eb="14">
      <t>ニュウリョク</t>
    </rPh>
    <phoneticPr fontId="5"/>
  </si>
  <si>
    <t>農薬の購入費、共同防除の負担金等</t>
    <rPh sb="7" eb="9">
      <t>キョウドウ</t>
    </rPh>
    <phoneticPr fontId="5"/>
  </si>
  <si>
    <t>総会（会場使用料）</t>
    <rPh sb="0" eb="2">
      <t>ソウカイ</t>
    </rPh>
    <rPh sb="3" eb="5">
      <t>カイジョウ</t>
    </rPh>
    <rPh sb="5" eb="7">
      <t>シヨウ</t>
    </rPh>
    <rPh sb="7" eb="8">
      <t>リョウ</t>
    </rPh>
    <phoneticPr fontId="5"/>
  </si>
  <si>
    <t>広瀬　二郎</t>
  </si>
  <si>
    <t>○○工務店</t>
    <rPh sb="2" eb="5">
      <t>コウムテン</t>
    </rPh>
    <phoneticPr fontId="5"/>
  </si>
  <si>
    <t>合計.D</t>
  </si>
  <si>
    <t>役員報酬・講師謝礼等</t>
    <rPh sb="0" eb="2">
      <t>ヤクイン</t>
    </rPh>
    <rPh sb="2" eb="4">
      <t>ホウシュウ</t>
    </rPh>
    <rPh sb="5" eb="7">
      <t>コウシ</t>
    </rPh>
    <rPh sb="7" eb="9">
      <t>シャレイ</t>
    </rPh>
    <rPh sb="9" eb="10">
      <t>トウ</t>
    </rPh>
    <phoneticPr fontId="5"/>
  </si>
  <si>
    <t>協定参加者が参加する各種研修等に係る経費、新規就農者・オペレーター等の研修に係る経費等の額の合計を入力</t>
  </si>
  <si>
    <t>茶菓代</t>
    <rPh sb="0" eb="1">
      <t>チャ</t>
    </rPh>
    <rPh sb="1" eb="2">
      <t>カ</t>
    </rPh>
    <rPh sb="2" eb="3">
      <t>ダイ</t>
    </rPh>
    <phoneticPr fontId="5"/>
  </si>
  <si>
    <r>
      <t>別紙</t>
    </r>
    <r>
      <rPr>
        <b/>
        <sz val="12"/>
        <color auto="1"/>
        <rFont val="ＭＳ 明朝"/>
      </rPr>
      <t>1-1</t>
    </r>
    <r>
      <rPr>
        <sz val="12"/>
        <color auto="1"/>
        <rFont val="ＭＳ 明朝"/>
      </rPr>
      <t>を上にし（代表者の印を押印）、別紙</t>
    </r>
    <r>
      <rPr>
        <b/>
        <sz val="12"/>
        <color auto="1"/>
        <rFont val="ＭＳ 明朝"/>
      </rPr>
      <t>1-2</t>
    </r>
    <r>
      <rPr>
        <sz val="12"/>
        <color auto="1"/>
        <rFont val="ＭＳ 明朝"/>
      </rPr>
      <t>、支出明細にあわせ、入力したExcelファイルとともに提出をお願いします。</t>
    </r>
    <rPh sb="0" eb="2">
      <t>ベッシ</t>
    </rPh>
    <rPh sb="6" eb="7">
      <t>ウエ</t>
    </rPh>
    <rPh sb="10" eb="13">
      <t>ダイヒョウシャ</t>
    </rPh>
    <rPh sb="14" eb="15">
      <t>イン</t>
    </rPh>
    <rPh sb="16" eb="18">
      <t>オウイン</t>
    </rPh>
    <rPh sb="20" eb="22">
      <t>ベッシ</t>
    </rPh>
    <rPh sb="26" eb="28">
      <t>シシュツ</t>
    </rPh>
    <rPh sb="28" eb="30">
      <t>メイサイ</t>
    </rPh>
    <rPh sb="35" eb="37">
      <t>ニュウリョク</t>
    </rPh>
    <rPh sb="52" eb="54">
      <t>テイシュツ</t>
    </rPh>
    <rPh sb="56" eb="57">
      <t>ネガ</t>
    </rPh>
    <phoneticPr fontId="5"/>
  </si>
  <si>
    <t>　　役員から順に入力。代表者を必ず1番目に。2番目、3番目に役員を入力。）</t>
    <rPh sb="2" eb="4">
      <t>ヤクイン</t>
    </rPh>
    <rPh sb="6" eb="7">
      <t>ジュン</t>
    </rPh>
    <rPh sb="8" eb="10">
      <t>ニュウリョク</t>
    </rPh>
    <phoneticPr fontId="5"/>
  </si>
  <si>
    <t>　共同取り組み活動分を按分します。分数で、分母、分子でそれぞれに入力してください。通常の場合協定参加者数で按分しますので、分子は〝1〟、分母には協定者の人数が入ります。但し同一世帯から２名参加している場合は農業経営主の方に配分します。配分しないほうの分母・分子の欄は空欄にしてください。非農家や非対象農家等の交付金対象農用地を持たない方も按分からは除外します。交付対象面積で按分する場合は「（参考）面積按分率計算シート」を活用してください。</t>
    <rPh sb="1" eb="3">
      <t>キョウドウ</t>
    </rPh>
    <rPh sb="3" eb="4">
      <t>ト</t>
    </rPh>
    <rPh sb="5" eb="6">
      <t>ク</t>
    </rPh>
    <rPh sb="7" eb="9">
      <t>カツドウ</t>
    </rPh>
    <rPh sb="9" eb="10">
      <t>ブン</t>
    </rPh>
    <rPh sb="11" eb="13">
      <t>アンブン</t>
    </rPh>
    <rPh sb="17" eb="19">
      <t>ブンスウ</t>
    </rPh>
    <rPh sb="21" eb="23">
      <t>ブンボ</t>
    </rPh>
    <rPh sb="24" eb="26">
      <t>ブンシ</t>
    </rPh>
    <rPh sb="32" eb="34">
      <t>ニュウリョク</t>
    </rPh>
    <rPh sb="41" eb="43">
      <t>ツウジョウ</t>
    </rPh>
    <rPh sb="44" eb="46">
      <t>バアイ</t>
    </rPh>
    <rPh sb="46" eb="48">
      <t>キョウテイ</t>
    </rPh>
    <rPh sb="48" eb="50">
      <t>サンカ</t>
    </rPh>
    <rPh sb="50" eb="51">
      <t>シャ</t>
    </rPh>
    <rPh sb="51" eb="52">
      <t>スウ</t>
    </rPh>
    <rPh sb="53" eb="55">
      <t>アンブン</t>
    </rPh>
    <rPh sb="61" eb="63">
      <t>ブンシ</t>
    </rPh>
    <rPh sb="68" eb="70">
      <t>ブンボ</t>
    </rPh>
    <rPh sb="72" eb="74">
      <t>キョウテイ</t>
    </rPh>
    <rPh sb="74" eb="75">
      <t>シャ</t>
    </rPh>
    <rPh sb="76" eb="78">
      <t>ニンズウ</t>
    </rPh>
    <rPh sb="79" eb="80">
      <t>ハイ</t>
    </rPh>
    <rPh sb="84" eb="85">
      <t>タダ</t>
    </rPh>
    <rPh sb="86" eb="88">
      <t>ドウイツ</t>
    </rPh>
    <rPh sb="88" eb="90">
      <t>セタイ</t>
    </rPh>
    <rPh sb="93" eb="94">
      <t>メイ</t>
    </rPh>
    <rPh sb="94" eb="96">
      <t>サンカ</t>
    </rPh>
    <rPh sb="100" eb="102">
      <t>バアイ</t>
    </rPh>
    <rPh sb="103" eb="105">
      <t>ノウギョウ</t>
    </rPh>
    <rPh sb="105" eb="107">
      <t>ケイエイ</t>
    </rPh>
    <rPh sb="107" eb="108">
      <t>ヌシ</t>
    </rPh>
    <rPh sb="109" eb="110">
      <t>ホウ</t>
    </rPh>
    <rPh sb="111" eb="113">
      <t>ハイブン</t>
    </rPh>
    <rPh sb="117" eb="119">
      <t>ハイブン</t>
    </rPh>
    <rPh sb="131" eb="132">
      <t>ラン</t>
    </rPh>
    <rPh sb="133" eb="135">
      <t>クウラン</t>
    </rPh>
    <rPh sb="143" eb="144">
      <t>ヒ</t>
    </rPh>
    <rPh sb="144" eb="146">
      <t>ノウカ</t>
    </rPh>
    <rPh sb="147" eb="150">
      <t>ヒタイショウ</t>
    </rPh>
    <rPh sb="150" eb="152">
      <t>ノウカ</t>
    </rPh>
    <rPh sb="152" eb="153">
      <t>トウ</t>
    </rPh>
    <rPh sb="154" eb="157">
      <t>コウフキン</t>
    </rPh>
    <rPh sb="157" eb="159">
      <t>タイショウ</t>
    </rPh>
    <rPh sb="159" eb="162">
      <t>ノウヨウチ</t>
    </rPh>
    <rPh sb="163" eb="164">
      <t>モ</t>
    </rPh>
    <rPh sb="167" eb="168">
      <t>カタ</t>
    </rPh>
    <rPh sb="169" eb="171">
      <t>アンブン</t>
    </rPh>
    <rPh sb="174" eb="176">
      <t>ジョガイ</t>
    </rPh>
    <rPh sb="180" eb="182">
      <t>コウフ</t>
    </rPh>
    <rPh sb="182" eb="184">
      <t>タイショウ</t>
    </rPh>
    <rPh sb="184" eb="186">
      <t>メンセキ</t>
    </rPh>
    <rPh sb="187" eb="189">
      <t>アンブン</t>
    </rPh>
    <rPh sb="191" eb="193">
      <t>バアイ</t>
    </rPh>
    <rPh sb="196" eb="198">
      <t>サンコウ</t>
    </rPh>
    <rPh sb="199" eb="201">
      <t>メンセキ</t>
    </rPh>
    <rPh sb="201" eb="203">
      <t>アンブン</t>
    </rPh>
    <rPh sb="203" eb="204">
      <t>リツ</t>
    </rPh>
    <rPh sb="204" eb="206">
      <t>ケイサン</t>
    </rPh>
    <rPh sb="211" eb="213">
      <t>カツヨウ</t>
    </rPh>
    <phoneticPr fontId="5"/>
  </si>
  <si>
    <t>1月1日～翌年3月31日まで</t>
    <rPh sb="1" eb="2">
      <t>ガツ</t>
    </rPh>
    <rPh sb="3" eb="4">
      <t>ニチ</t>
    </rPh>
    <rPh sb="5" eb="6">
      <t>ヨク</t>
    </rPh>
    <rPh sb="6" eb="7">
      <t>ネン</t>
    </rPh>
    <rPh sb="8" eb="9">
      <t>ガツ</t>
    </rPh>
    <rPh sb="11" eb="12">
      <t>ニチ</t>
    </rPh>
    <phoneticPr fontId="5"/>
  </si>
  <si>
    <t>研修会等費</t>
  </si>
  <si>
    <t>共同利用施設整備等費</t>
    <rPh sb="0" eb="2">
      <t>キョウドウ</t>
    </rPh>
    <rPh sb="2" eb="4">
      <t>リヨウ</t>
    </rPh>
    <rPh sb="4" eb="6">
      <t>シセツ</t>
    </rPh>
    <rPh sb="6" eb="9">
      <t>セイビナド</t>
    </rPh>
    <rPh sb="9" eb="10">
      <t>ヒ</t>
    </rPh>
    <phoneticPr fontId="5"/>
  </si>
  <si>
    <t>（５）協定参加者役職⑤、氏名⑥を入力。</t>
    <rPh sb="3" eb="5">
      <t>キョウテイ</t>
    </rPh>
    <rPh sb="8" eb="10">
      <t>ヤクショク</t>
    </rPh>
    <phoneticPr fontId="5"/>
  </si>
  <si>
    <t>令和</t>
    <rPh sb="0" eb="2">
      <t>レイワ</t>
    </rPh>
    <phoneticPr fontId="5"/>
  </si>
  <si>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5"/>
  </si>
  <si>
    <t>報告</t>
    <rPh sb="0" eb="2">
      <t>ホウコク</t>
    </rPh>
    <phoneticPr fontId="5"/>
  </si>
  <si>
    <t>区分</t>
    <rPh sb="0" eb="2">
      <t>クブン</t>
    </rPh>
    <phoneticPr fontId="5"/>
  </si>
  <si>
    <t>収入</t>
    <rPh sb="0" eb="2">
      <t>シュウニュウ</t>
    </rPh>
    <phoneticPr fontId="5"/>
  </si>
  <si>
    <t>残高</t>
    <rPh sb="0" eb="2">
      <t>ザンダカ</t>
    </rPh>
    <phoneticPr fontId="5"/>
  </si>
  <si>
    <t>中山間地域等直接支払制度</t>
    <rPh sb="0" eb="1">
      <t>チュウ</t>
    </rPh>
    <rPh sb="1" eb="3">
      <t>サンカン</t>
    </rPh>
    <rPh sb="3" eb="5">
      <t>チイキ</t>
    </rPh>
    <rPh sb="5" eb="6">
      <t>トウ</t>
    </rPh>
    <rPh sb="6" eb="8">
      <t>チョクセツ</t>
    </rPh>
    <rPh sb="8" eb="10">
      <t>シハライ</t>
    </rPh>
    <rPh sb="10" eb="12">
      <t>セイド</t>
    </rPh>
    <phoneticPr fontId="5"/>
  </si>
  <si>
    <t>収支</t>
    <rPh sb="0" eb="2">
      <t>シュウシ</t>
    </rPh>
    <phoneticPr fontId="5"/>
  </si>
  <si>
    <t>繰越金</t>
    <rPh sb="0" eb="2">
      <t>クリコシ</t>
    </rPh>
    <rPh sb="2" eb="3">
      <t>キン</t>
    </rPh>
    <phoneticPr fontId="5"/>
  </si>
  <si>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5"/>
  </si>
  <si>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5"/>
  </si>
  <si>
    <t>燃料代</t>
  </si>
  <si>
    <t>個人配分（前年分）</t>
    <rPh sb="0" eb="2">
      <t>コジン</t>
    </rPh>
    <rPh sb="2" eb="4">
      <t>ハイブン</t>
    </rPh>
    <rPh sb="5" eb="7">
      <t>ゼンネン</t>
    </rPh>
    <rPh sb="7" eb="8">
      <t>ブン</t>
    </rPh>
    <phoneticPr fontId="5"/>
  </si>
  <si>
    <t>借入金</t>
    <rPh sb="0" eb="3">
      <t>カリイレキン</t>
    </rPh>
    <phoneticPr fontId="5"/>
  </si>
  <si>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5"/>
  </si>
  <si>
    <t>積立金繰入</t>
    <rPh sb="0" eb="2">
      <t>ツミタテ</t>
    </rPh>
    <rPh sb="2" eb="3">
      <t>キン</t>
    </rPh>
    <rPh sb="3" eb="5">
      <t>クリイレ</t>
    </rPh>
    <phoneticPr fontId="5"/>
  </si>
  <si>
    <t>預金利息</t>
    <rPh sb="0" eb="2">
      <t>ヨキン</t>
    </rPh>
    <rPh sb="2" eb="4">
      <t>リソク</t>
    </rPh>
    <phoneticPr fontId="5"/>
  </si>
  <si>
    <t>支出等</t>
    <rPh sb="0" eb="2">
      <t>シシュツ</t>
    </rPh>
    <rPh sb="2" eb="3">
      <t>トウ</t>
    </rPh>
    <phoneticPr fontId="5"/>
  </si>
  <si>
    <t>研修会等費</t>
    <rPh sb="0" eb="4">
      <t>ケンシュウカイナド</t>
    </rPh>
    <rPh sb="4" eb="5">
      <t>ヒ</t>
    </rPh>
    <phoneticPr fontId="5"/>
  </si>
  <si>
    <t>道・水路を管理するための経費（草刈・泥上げ等の出役費、水利組合等への委託費、管理活動に必要な備品購入費（スコップ、カマ等）等）</t>
    <rPh sb="0" eb="1">
      <t>ミチ</t>
    </rPh>
    <rPh sb="2" eb="4">
      <t>スイロ</t>
    </rPh>
    <rPh sb="5" eb="7">
      <t>カンリ</t>
    </rPh>
    <rPh sb="12" eb="14">
      <t>ケイヒ</t>
    </rPh>
    <rPh sb="15" eb="17">
      <t>クサカリ</t>
    </rPh>
    <rPh sb="18" eb="19">
      <t>ドロ</t>
    </rPh>
    <rPh sb="19" eb="20">
      <t>ア</t>
    </rPh>
    <rPh sb="21" eb="22">
      <t>ナド</t>
    </rPh>
    <rPh sb="23" eb="24">
      <t>デ</t>
    </rPh>
    <rPh sb="24" eb="25">
      <t>エキ</t>
    </rPh>
    <rPh sb="25" eb="26">
      <t>ヒ</t>
    </rPh>
    <rPh sb="27" eb="29">
      <t>スイリ</t>
    </rPh>
    <rPh sb="29" eb="32">
      <t>クミアイナド</t>
    </rPh>
    <rPh sb="34" eb="36">
      <t>イタク</t>
    </rPh>
    <rPh sb="36" eb="37">
      <t>ヒ</t>
    </rPh>
    <rPh sb="38" eb="40">
      <t>カンリ</t>
    </rPh>
    <rPh sb="40" eb="42">
      <t>カツドウ</t>
    </rPh>
    <rPh sb="43" eb="45">
      <t>ヒツヨウ</t>
    </rPh>
    <rPh sb="46" eb="48">
      <t>ビヒン</t>
    </rPh>
    <rPh sb="48" eb="51">
      <t>コウニュウヒ</t>
    </rPh>
    <rPh sb="59" eb="60">
      <t>ナド</t>
    </rPh>
    <rPh sb="61" eb="62">
      <t>ナド</t>
    </rPh>
    <phoneticPr fontId="5"/>
  </si>
  <si>
    <t>農地管理費</t>
  </si>
  <si>
    <t>畦畔管理費、法面点検費、荒廃農地の管理費、農作業受委託料金費用等の農地を管理していくための諸経費</t>
  </si>
  <si>
    <t>交付金で償却資産を新たに購入した、又は以前購入した集落については「償却資産明細書」シートの入力をお願いします。</t>
  </si>
  <si>
    <t>鳥獣被害防止対策費</t>
  </si>
  <si>
    <t>共同利用機械購入等費</t>
  </si>
  <si>
    <t>土地利用調整関係費</t>
  </si>
  <si>
    <t>共同利用施設（育苗施設、集出荷施設、処理加工施設、販売施設、その他協定参加者の共同利用に供する施設等）に係る建設費、施設補修費、施設運営費等</t>
  </si>
  <si>
    <t>防止柵等資材費、防止柵等設置費、防止柵維持管理費</t>
  </si>
  <si>
    <t>集落協定広域化</t>
  </si>
  <si>
    <t>集落協定における法人の設立に係る経費</t>
  </si>
  <si>
    <r>
      <t>←</t>
    </r>
    <r>
      <rPr>
        <b/>
        <sz val="11"/>
        <color rgb="FFFF0000"/>
        <rFont val="ＭＳ 明朝"/>
      </rPr>
      <t>１行目は必ず前年末の通帳残高を入れます</t>
    </r>
    <rPh sb="2" eb="4">
      <t>ギョウメ</t>
    </rPh>
    <rPh sb="5" eb="6">
      <t>カナラ</t>
    </rPh>
    <rPh sb="7" eb="10">
      <t>ゼンネンマツ</t>
    </rPh>
    <rPh sb="11" eb="13">
      <t>ツウチョウ</t>
    </rPh>
    <rPh sb="13" eb="15">
      <t>ザンダカ</t>
    </rPh>
    <rPh sb="16" eb="17">
      <t>イ</t>
    </rPh>
    <phoneticPr fontId="5"/>
  </si>
  <si>
    <t>農地と一体となった周辺林地の下草刈り、景観作物、冬期の湛水化、不作付地での水張り等</t>
  </si>
  <si>
    <t>農産物の販売促進（パッケージ、パンフの作成、ブランド化等）に係る経費</t>
  </si>
  <si>
    <t>天　　候</t>
    <rPh sb="0" eb="1">
      <t>テン</t>
    </rPh>
    <rPh sb="3" eb="4">
      <t>コウ</t>
    </rPh>
    <phoneticPr fontId="5"/>
  </si>
  <si>
    <t>都市交流（施設の設置・運営、文化の伝承、農作業の体験学習）に係る経費</t>
    <rPh sb="14" eb="16">
      <t>ブンカ</t>
    </rPh>
    <rPh sb="17" eb="19">
      <t>デンショウ</t>
    </rPh>
    <rPh sb="20" eb="23">
      <t>ノウサギョウ</t>
    </rPh>
    <rPh sb="24" eb="26">
      <t>タイケン</t>
    </rPh>
    <rPh sb="26" eb="28">
      <t>ガクシュウ</t>
    </rPh>
    <phoneticPr fontId="5"/>
  </si>
  <si>
    <t>上記以外の積立等以外の共同取組活動費経費(事務手数料、借入金返済等)</t>
    <rPh sb="0" eb="2">
      <t>ジョウキ</t>
    </rPh>
    <rPh sb="2" eb="4">
      <t>イガイ</t>
    </rPh>
    <rPh sb="21" eb="23">
      <t>ジム</t>
    </rPh>
    <rPh sb="23" eb="26">
      <t>テスウリョウ</t>
    </rPh>
    <rPh sb="32" eb="33">
      <t>トウ</t>
    </rPh>
    <phoneticPr fontId="5"/>
  </si>
  <si>
    <t>積立金</t>
    <rPh sb="0" eb="2">
      <t>ツミタテ</t>
    </rPh>
    <rPh sb="2" eb="3">
      <t>キン</t>
    </rPh>
    <phoneticPr fontId="5"/>
  </si>
  <si>
    <t>前年度3月末からの繰越金がある場合記入します</t>
    <rPh sb="0" eb="3">
      <t>ゼンネンド</t>
    </rPh>
    <rPh sb="4" eb="5">
      <t>ガツ</t>
    </rPh>
    <rPh sb="5" eb="6">
      <t>マツ</t>
    </rPh>
    <rPh sb="9" eb="11">
      <t>クリコシ</t>
    </rPh>
    <rPh sb="11" eb="12">
      <t>キン</t>
    </rPh>
    <rPh sb="15" eb="17">
      <t>バアイ</t>
    </rPh>
    <rPh sb="17" eb="19">
      <t>キニュウ</t>
    </rPh>
    <phoneticPr fontId="5"/>
  </si>
  <si>
    <t>加算措置</t>
    <rPh sb="0" eb="2">
      <t>カサン</t>
    </rPh>
    <rPh sb="2" eb="4">
      <t>ソチ</t>
    </rPh>
    <phoneticPr fontId="5"/>
  </si>
  <si>
    <t>研修会等費</t>
    <rPh sb="0" eb="2">
      <t>ケンシュウ</t>
    </rPh>
    <rPh sb="2" eb="4">
      <t>カイナド</t>
    </rPh>
    <rPh sb="4" eb="5">
      <t>ヒ</t>
    </rPh>
    <phoneticPr fontId="5"/>
  </si>
  <si>
    <t>経費外支出</t>
  </si>
  <si>
    <t>K</t>
  </si>
  <si>
    <t>L</t>
  </si>
  <si>
    <t>令和　　年度中山間地域等直接支払交付金実績報告書</t>
    <rPh sb="4" eb="6">
      <t>ネンド</t>
    </rPh>
    <rPh sb="6" eb="7">
      <t>チュウ</t>
    </rPh>
    <rPh sb="7" eb="8">
      <t>ケンチュウ</t>
    </rPh>
    <rPh sb="19" eb="24">
      <t>ジッセキホウコクショ</t>
    </rPh>
    <phoneticPr fontId="5"/>
  </si>
  <si>
    <t>M</t>
  </si>
  <si>
    <t>食事・飲酒に係る支出等、観光旅行的な要素が大きい内容の経費等</t>
    <rPh sb="10" eb="11">
      <t>トウ</t>
    </rPh>
    <rPh sb="29" eb="30">
      <t>トウ</t>
    </rPh>
    <phoneticPr fontId="5"/>
  </si>
  <si>
    <t>安来市長　　田中　武夫　様</t>
    <rPh sb="0" eb="3">
      <t>ヤスギシ</t>
    </rPh>
    <rPh sb="3" eb="4">
      <t>チョウ</t>
    </rPh>
    <rPh sb="6" eb="8">
      <t>タナカ</t>
    </rPh>
    <rPh sb="9" eb="11">
      <t>タケオ</t>
    </rPh>
    <rPh sb="12" eb="13">
      <t>サマ</t>
    </rPh>
    <phoneticPr fontId="5"/>
  </si>
  <si>
    <t>動力光熱費</t>
  </si>
  <si>
    <t>広瀬商店</t>
    <rPh sb="0" eb="2">
      <t>ヒロセ</t>
    </rPh>
    <rPh sb="2" eb="4">
      <t>ショウテン</t>
    </rPh>
    <phoneticPr fontId="5"/>
  </si>
  <si>
    <t>共同利用機械購入</t>
  </si>
  <si>
    <t>K.農産物の販売促進経費</t>
    <rPh sb="2" eb="5">
      <t>ノウサンブツ</t>
    </rPh>
    <rPh sb="6" eb="8">
      <t>ハンバイ</t>
    </rPh>
    <rPh sb="8" eb="10">
      <t>ソクシン</t>
    </rPh>
    <rPh sb="10" eb="11">
      <t>キョウ</t>
    </rPh>
    <rPh sb="11" eb="12">
      <t>ヒ</t>
    </rPh>
    <phoneticPr fontId="5"/>
  </si>
  <si>
    <t>M．その他</t>
    <rPh sb="4" eb="5">
      <t>タ</t>
    </rPh>
    <phoneticPr fontId="5"/>
  </si>
  <si>
    <t>別紙３</t>
    <rPh sb="0" eb="2">
      <t>ベッシ</t>
    </rPh>
    <phoneticPr fontId="5"/>
  </si>
  <si>
    <t>区　　　　分</t>
  </si>
  <si>
    <t>備　　　考</t>
  </si>
  <si>
    <t>預金利息</t>
  </si>
  <si>
    <t>その他（　　　　　　　　　）</t>
  </si>
  <si>
    <t>個人配分</t>
  </si>
  <si>
    <t>道・水路管理費</t>
  </si>
  <si>
    <t>うち目的基金（　　　　　　）積立</t>
  </si>
  <si>
    <t>役員報酬</t>
  </si>
  <si>
    <t>市補助金</t>
  </si>
  <si>
    <t>【10単価協定・加算措置を受ける協定のみ提出】</t>
    <rPh sb="3" eb="5">
      <t>タンカ</t>
    </rPh>
    <rPh sb="5" eb="7">
      <t>キョウテイ</t>
    </rPh>
    <rPh sb="8" eb="10">
      <t>カサン</t>
    </rPh>
    <rPh sb="10" eb="12">
      <t>ソチ</t>
    </rPh>
    <rPh sb="13" eb="14">
      <t>ウ</t>
    </rPh>
    <rPh sb="16" eb="18">
      <t>キョウテイ</t>
    </rPh>
    <rPh sb="20" eb="22">
      <t>テイシュツ</t>
    </rPh>
    <phoneticPr fontId="5"/>
  </si>
  <si>
    <t>(1)超急傾斜農地保全管理加算</t>
  </si>
  <si>
    <t>協定名</t>
    <rPh sb="0" eb="2">
      <t>キョウテイ</t>
    </rPh>
    <rPh sb="2" eb="3">
      <t>メイ</t>
    </rPh>
    <phoneticPr fontId="5"/>
  </si>
  <si>
    <t>年度</t>
    <rPh sb="0" eb="2">
      <t>ネンド</t>
    </rPh>
    <phoneticPr fontId="5"/>
  </si>
  <si>
    <t>１．体制整備単価　必須事項（農用地等保全体制整備）</t>
    <rPh sb="2" eb="4">
      <t>タイセイ</t>
    </rPh>
    <rPh sb="4" eb="6">
      <t>セイビ</t>
    </rPh>
    <rPh sb="6" eb="8">
      <t>タンカ</t>
    </rPh>
    <rPh sb="9" eb="11">
      <t>ヒッス</t>
    </rPh>
    <rPh sb="11" eb="13">
      <t>ジコウ</t>
    </rPh>
    <rPh sb="14" eb="17">
      <t>ノウヨウチ</t>
    </rPh>
    <rPh sb="17" eb="18">
      <t>トウ</t>
    </rPh>
    <rPh sb="18" eb="20">
      <t>ホゼン</t>
    </rPh>
    <rPh sb="20" eb="22">
      <t>タイセイ</t>
    </rPh>
    <rPh sb="22" eb="24">
      <t>セイビ</t>
    </rPh>
    <phoneticPr fontId="5"/>
  </si>
  <si>
    <t>選択</t>
    <rPh sb="0" eb="2">
      <t>センタク</t>
    </rPh>
    <phoneticPr fontId="5"/>
  </si>
  <si>
    <t>尼子経久</t>
    <rPh sb="0" eb="2">
      <t>アマゴ</t>
    </rPh>
    <rPh sb="2" eb="3">
      <t>ツネ</t>
    </rPh>
    <rPh sb="3" eb="4">
      <t>ヒサ</t>
    </rPh>
    <phoneticPr fontId="5"/>
  </si>
  <si>
    <t>内　　　　　　　　容</t>
    <rPh sb="0" eb="1">
      <t>ナイ</t>
    </rPh>
    <rPh sb="9" eb="10">
      <t>カタチ</t>
    </rPh>
    <phoneticPr fontId="5"/>
  </si>
  <si>
    <t>①農地法面、水路、農道等の補修・改良が必要となる範囲又は位置</t>
  </si>
  <si>
    <t>②既荒廃農地の復旧又は林地化を実施する範囲</t>
    <rPh sb="1" eb="2">
      <t>スデ</t>
    </rPh>
    <rPh sb="2" eb="4">
      <t>コウハイ</t>
    </rPh>
    <rPh sb="4" eb="6">
      <t>ノウチ</t>
    </rPh>
    <phoneticPr fontId="5"/>
  </si>
  <si>
    <t>選択項目番号</t>
    <rPh sb="0" eb="2">
      <t>センタク</t>
    </rPh>
    <rPh sb="2" eb="4">
      <t>コウモク</t>
    </rPh>
    <rPh sb="4" eb="6">
      <t>バンゴウ</t>
    </rPh>
    <phoneticPr fontId="5"/>
  </si>
  <si>
    <t>本年度実施状況</t>
  </si>
  <si>
    <t>※実施状況がわかる書類（活動記録簿、写真等）を添付してください。</t>
    <rPh sb="1" eb="3">
      <t>ジッシ</t>
    </rPh>
    <rPh sb="3" eb="5">
      <t>ジョウキョウ</t>
    </rPh>
    <rPh sb="9" eb="11">
      <t>ショルイ</t>
    </rPh>
    <rPh sb="12" eb="14">
      <t>カツドウ</t>
    </rPh>
    <rPh sb="14" eb="17">
      <t>キロクボ</t>
    </rPh>
    <rPh sb="18" eb="20">
      <t>シャシン</t>
    </rPh>
    <rPh sb="20" eb="21">
      <t>トウ</t>
    </rPh>
    <rPh sb="23" eb="25">
      <t>テンプ</t>
    </rPh>
    <phoneticPr fontId="5"/>
  </si>
  <si>
    <t>２．体制整備単価　（集落戦略の実現に向けた話合いの実施状況）</t>
    <rPh sb="2" eb="4">
      <t>タイセイ</t>
    </rPh>
    <rPh sb="4" eb="6">
      <t>セイビ</t>
    </rPh>
    <rPh sb="6" eb="8">
      <t>タンカ</t>
    </rPh>
    <rPh sb="10" eb="12">
      <t>シュウラク</t>
    </rPh>
    <rPh sb="12" eb="14">
      <t>センリャク</t>
    </rPh>
    <rPh sb="15" eb="17">
      <t>ジツゲン</t>
    </rPh>
    <rPh sb="18" eb="19">
      <t>ム</t>
    </rPh>
    <rPh sb="21" eb="23">
      <t>ハナシア</t>
    </rPh>
    <rPh sb="25" eb="27">
      <t>ジッシ</t>
    </rPh>
    <rPh sb="27" eb="29">
      <t>ジョウキョウ</t>
    </rPh>
    <phoneticPr fontId="5"/>
  </si>
  <si>
    <t>実施日</t>
    <rPh sb="0" eb="3">
      <t>ジッシビ</t>
    </rPh>
    <phoneticPr fontId="5"/>
  </si>
  <si>
    <t>参加者数</t>
    <rPh sb="0" eb="2">
      <t>サンカ</t>
    </rPh>
    <rPh sb="2" eb="3">
      <t>シャ</t>
    </rPh>
    <rPh sb="3" eb="4">
      <t>スウ</t>
    </rPh>
    <phoneticPr fontId="5"/>
  </si>
  <si>
    <t>話合いの主な内容</t>
    <rPh sb="0" eb="2">
      <t>ハナシア</t>
    </rPh>
    <rPh sb="4" eb="5">
      <t>オモ</t>
    </rPh>
    <rPh sb="6" eb="8">
      <t>ナイヨウ</t>
    </rPh>
    <phoneticPr fontId="5"/>
  </si>
  <si>
    <t>※実施状況がわかる書類（会議録、参加者名簿等）を添付してください。</t>
    <rPh sb="1" eb="3">
      <t>ジッシ</t>
    </rPh>
    <rPh sb="3" eb="5">
      <t>ジョウキョウ</t>
    </rPh>
    <rPh sb="9" eb="11">
      <t>ショルイ</t>
    </rPh>
    <rPh sb="12" eb="15">
      <t>カイギロク</t>
    </rPh>
    <rPh sb="16" eb="19">
      <t>サンカシャ</t>
    </rPh>
    <rPh sb="19" eb="21">
      <t>メイボ</t>
    </rPh>
    <rPh sb="21" eb="22">
      <t>トウ</t>
    </rPh>
    <rPh sb="24" eb="26">
      <t>テンプ</t>
    </rPh>
    <phoneticPr fontId="5"/>
  </si>
  <si>
    <t>資産コード</t>
  </si>
  <si>
    <t>３．加算措置</t>
    <rPh sb="2" eb="4">
      <t>カサン</t>
    </rPh>
    <rPh sb="4" eb="6">
      <t>ソチ</t>
    </rPh>
    <phoneticPr fontId="5"/>
  </si>
  <si>
    <t>達成目標</t>
    <rPh sb="0" eb="2">
      <t>タッセイ</t>
    </rPh>
    <rPh sb="2" eb="4">
      <t>モクヒョウ</t>
    </rPh>
    <phoneticPr fontId="5"/>
  </si>
  <si>
    <t>※実施状況がわかる書類（活動記録簿、写真、パンフレット等）を添付してください。</t>
    <rPh sb="1" eb="3">
      <t>ジッシ</t>
    </rPh>
    <rPh sb="3" eb="5">
      <t>ジョウキョウ</t>
    </rPh>
    <rPh sb="9" eb="11">
      <t>ショルイ</t>
    </rPh>
    <rPh sb="12" eb="14">
      <t>カツドウ</t>
    </rPh>
    <rPh sb="14" eb="17">
      <t>キロクボ</t>
    </rPh>
    <rPh sb="18" eb="20">
      <t>シャシン</t>
    </rPh>
    <rPh sb="27" eb="28">
      <t>トウ</t>
    </rPh>
    <rPh sb="30" eb="32">
      <t>テンプ</t>
    </rPh>
    <phoneticPr fontId="5"/>
  </si>
  <si>
    <t>別紙１</t>
    <rPh sb="0" eb="2">
      <t>ベッシ</t>
    </rPh>
    <phoneticPr fontId="5"/>
  </si>
  <si>
    <t>(2)集落協定広域化加算</t>
    <rPh sb="3" eb="5">
      <t>シュウラク</t>
    </rPh>
    <rPh sb="5" eb="7">
      <t>キョウテイ</t>
    </rPh>
    <rPh sb="7" eb="9">
      <t>コウイキ</t>
    </rPh>
    <rPh sb="9" eb="10">
      <t>カ</t>
    </rPh>
    <rPh sb="10" eb="12">
      <t>カサン</t>
    </rPh>
    <phoneticPr fontId="5"/>
  </si>
  <si>
    <t>備考</t>
    <rPh sb="0" eb="2">
      <t>ビコウ</t>
    </rPh>
    <phoneticPr fontId="5"/>
  </si>
  <si>
    <t>広域化により実現する農業生産活動等の継続のための取組</t>
    <rPh sb="0" eb="3">
      <t>コウイキカ</t>
    </rPh>
    <rPh sb="6" eb="8">
      <t>ジツゲン</t>
    </rPh>
    <rPh sb="10" eb="12">
      <t>ノウギョウ</t>
    </rPh>
    <rPh sb="12" eb="14">
      <t>セイサン</t>
    </rPh>
    <rPh sb="14" eb="16">
      <t>カツドウ</t>
    </rPh>
    <rPh sb="16" eb="17">
      <t>トウ</t>
    </rPh>
    <rPh sb="18" eb="20">
      <t>ケイゾク</t>
    </rPh>
    <rPh sb="24" eb="26">
      <t>トリクミ</t>
    </rPh>
    <phoneticPr fontId="5"/>
  </si>
  <si>
    <t>農道補修用砕石</t>
    <rPh sb="0" eb="2">
      <t>ノウドウ</t>
    </rPh>
    <rPh sb="2" eb="5">
      <t>ホシュウヨウ</t>
    </rPh>
    <rPh sb="5" eb="7">
      <t>サイセキ</t>
    </rPh>
    <phoneticPr fontId="89"/>
  </si>
  <si>
    <t>(3)集落機能強化加算</t>
    <rPh sb="3" eb="5">
      <t>シュウラク</t>
    </rPh>
    <rPh sb="5" eb="7">
      <t>キノウ</t>
    </rPh>
    <rPh sb="7" eb="9">
      <t>キョウカ</t>
    </rPh>
    <rPh sb="9" eb="11">
      <t>カサン</t>
    </rPh>
    <phoneticPr fontId="5"/>
  </si>
  <si>
    <t>集落機能を強化する取組</t>
    <rPh sb="0" eb="2">
      <t>シュウラク</t>
    </rPh>
    <rPh sb="2" eb="4">
      <t>キノウ</t>
    </rPh>
    <rPh sb="5" eb="7">
      <t>キョウカ</t>
    </rPh>
    <rPh sb="9" eb="11">
      <t>トリクミ</t>
    </rPh>
    <phoneticPr fontId="5"/>
  </si>
  <si>
    <t>農業生産性の向上を図る取組</t>
    <rPh sb="0" eb="2">
      <t>ノウギョウ</t>
    </rPh>
    <rPh sb="2" eb="4">
      <t>セイサン</t>
    </rPh>
    <rPh sb="4" eb="5">
      <t>セイ</t>
    </rPh>
    <rPh sb="6" eb="8">
      <t>コウジョウ</t>
    </rPh>
    <rPh sb="9" eb="10">
      <t>ハカ</t>
    </rPh>
    <rPh sb="11" eb="13">
      <t>トリクミ</t>
    </rPh>
    <phoneticPr fontId="5"/>
  </si>
  <si>
    <t>●●集落協定</t>
    <rPh sb="2" eb="4">
      <t>シュウラク</t>
    </rPh>
    <rPh sb="4" eb="6">
      <t>キョウテイ</t>
    </rPh>
    <phoneticPr fontId="5"/>
  </si>
  <si>
    <t>自走草刈機購入（経費は減価償却）</t>
    <rPh sb="0" eb="2">
      <t>ジソウ</t>
    </rPh>
    <rPh sb="2" eb="4">
      <t>クサカリ</t>
    </rPh>
    <rPh sb="4" eb="5">
      <t>キ</t>
    </rPh>
    <phoneticPr fontId="5"/>
  </si>
  <si>
    <t>水路の補修、農道の舗装</t>
    <rPh sb="0" eb="2">
      <t>スイロ</t>
    </rPh>
    <rPh sb="3" eb="5">
      <t>ホシュウ</t>
    </rPh>
    <rPh sb="6" eb="8">
      <t>ノウドウ</t>
    </rPh>
    <rPh sb="9" eb="11">
      <t>ホソウ</t>
    </rPh>
    <phoneticPr fontId="5"/>
  </si>
  <si>
    <t>水路補修　●箇所　●m</t>
    <rPh sb="0" eb="2">
      <t>スイロ</t>
    </rPh>
    <rPh sb="2" eb="4">
      <t>ホシュウ</t>
    </rPh>
    <rPh sb="6" eb="8">
      <t>カショ</t>
    </rPh>
    <phoneticPr fontId="5"/>
  </si>
  <si>
    <t>CD０２００</t>
  </si>
  <si>
    <t>令和●年●月●日</t>
    <rPh sb="0" eb="2">
      <t>レイワ</t>
    </rPh>
    <rPh sb="3" eb="4">
      <t>ネン</t>
    </rPh>
    <rPh sb="5" eb="6">
      <t>ガツ</t>
    </rPh>
    <rPh sb="7" eb="8">
      <t>ニチ</t>
    </rPh>
    <phoneticPr fontId="5"/>
  </si>
  <si>
    <t>●名</t>
    <rPh sb="1" eb="2">
      <t>メイ</t>
    </rPh>
    <phoneticPr fontId="5"/>
  </si>
  <si>
    <t>石積み法面の改良（●㎡）</t>
    <rPh sb="0" eb="1">
      <t>イシ</t>
    </rPh>
    <rPh sb="1" eb="2">
      <t>ヅ</t>
    </rPh>
    <rPh sb="3" eb="4">
      <t>ホウ</t>
    </rPh>
    <rPh sb="4" eb="5">
      <t>メン</t>
    </rPh>
    <rPh sb="6" eb="8">
      <t>カイリョウ</t>
    </rPh>
    <phoneticPr fontId="5"/>
  </si>
  <si>
    <t>法面の改良●㎡実施（令和●年度●㎡実施）</t>
    <rPh sb="0" eb="1">
      <t>ホウ</t>
    </rPh>
    <rPh sb="1" eb="2">
      <t>メン</t>
    </rPh>
    <rPh sb="3" eb="5">
      <t>カイリョウ</t>
    </rPh>
    <rPh sb="7" eb="9">
      <t>ジッシ</t>
    </rPh>
    <rPh sb="10" eb="12">
      <t>レイワ</t>
    </rPh>
    <rPh sb="13" eb="15">
      <t>ネンド</t>
    </rPh>
    <rPh sb="17" eb="19">
      <t>ジッシ</t>
    </rPh>
    <phoneticPr fontId="5"/>
  </si>
  <si>
    <t>パンフレットを●部作成し、産直市で配布した。</t>
    <rPh sb="8" eb="9">
      <t>ブ</t>
    </rPh>
    <rPh sb="9" eb="11">
      <t>サクセイ</t>
    </rPh>
    <rPh sb="13" eb="15">
      <t>サンチョク</t>
    </rPh>
    <rPh sb="15" eb="16">
      <t>イチ</t>
    </rPh>
    <rPh sb="17" eb="19">
      <t>ハイフ</t>
    </rPh>
    <phoneticPr fontId="5"/>
  </si>
  <si>
    <t>集落協定の中心となる農業者１名を確保した。</t>
    <rPh sb="0" eb="2">
      <t>シュウラク</t>
    </rPh>
    <rPh sb="2" eb="4">
      <t>キョウテイ</t>
    </rPh>
    <rPh sb="5" eb="7">
      <t>チュウシン</t>
    </rPh>
    <rPh sb="10" eb="13">
      <t>ノウギョウシャ</t>
    </rPh>
    <rPh sb="14" eb="15">
      <t>メイ</t>
    </rPh>
    <rPh sb="16" eb="18">
      <t>カクホ</t>
    </rPh>
    <phoneticPr fontId="5"/>
  </si>
  <si>
    <t>機械の共同利用のための組織を立ち上げ、広域化した協定の農地の●％で機械利用の共同化を行う。</t>
  </si>
  <si>
    <t>除草剤</t>
    <rPh sb="0" eb="3">
      <t>ジョソウザイ</t>
    </rPh>
    <phoneticPr fontId="89"/>
  </si>
  <si>
    <t>水稲の収穫ボランティアを現状●名から●名増員する。</t>
    <rPh sb="0" eb="2">
      <t>スイトウ</t>
    </rPh>
    <phoneticPr fontId="5"/>
  </si>
  <si>
    <t>水稲の収穫ボランティアを現状●名から●名増員した。</t>
    <rPh sb="0" eb="2">
      <t>スイトウ</t>
    </rPh>
    <phoneticPr fontId="5"/>
  </si>
  <si>
    <t>高齢者見回りサービスを開始し、月●回の見守りを行う。</t>
    <rPh sb="15" eb="16">
      <t>ツキ</t>
    </rPh>
    <rPh sb="17" eb="18">
      <t>カイ</t>
    </rPh>
    <rPh sb="19" eb="21">
      <t>ミマモ</t>
    </rPh>
    <rPh sb="23" eb="24">
      <t>オコナ</t>
    </rPh>
    <phoneticPr fontId="5"/>
  </si>
  <si>
    <t>広域</t>
    <rPh sb="0" eb="2">
      <t>コウイキ</t>
    </rPh>
    <phoneticPr fontId="5"/>
  </si>
  <si>
    <t>生産</t>
    <rPh sb="0" eb="2">
      <t>セイサン</t>
    </rPh>
    <phoneticPr fontId="5"/>
  </si>
  <si>
    <t>合　計</t>
    <rPh sb="0" eb="1">
      <t>ゴウ</t>
    </rPh>
    <rPh sb="2" eb="3">
      <t>ケイ</t>
    </rPh>
    <phoneticPr fontId="5"/>
  </si>
  <si>
    <t>別紙２</t>
    <rPh sb="0" eb="2">
      <t>ベッシ</t>
    </rPh>
    <phoneticPr fontId="5"/>
  </si>
  <si>
    <t>区　　分</t>
  </si>
  <si>
    <t>●農作業の委託</t>
  </si>
  <si>
    <t>●荒廃しそうな農地の管理</t>
  </si>
  <si>
    <t>水路・農道
の維持管理</t>
  </si>
  <si>
    <t>取崩額</t>
  </si>
  <si>
    <t>●周辺林地等の草刈</t>
  </si>
  <si>
    <t>●景観作物作付</t>
  </si>
  <si>
    <t>●昆虫・魚・鳥類等保護</t>
  </si>
  <si>
    <t>●猪害防除対策</t>
  </si>
  <si>
    <t>担い手の
定着化対策</t>
  </si>
  <si>
    <t>畔塗作業代</t>
    <rPh sb="0" eb="1">
      <t>アゼ</t>
    </rPh>
    <rPh sb="1" eb="2">
      <t>ヌリ</t>
    </rPh>
    <rPh sb="2" eb="4">
      <t>サギョウ</t>
    </rPh>
    <rPh sb="4" eb="5">
      <t>ダイ</t>
    </rPh>
    <phoneticPr fontId="5"/>
  </si>
  <si>
    <t>管理責任者</t>
    <rPh sb="0" eb="2">
      <t>カンリ</t>
    </rPh>
    <rPh sb="2" eb="5">
      <t>セキニンシャ</t>
    </rPh>
    <phoneticPr fontId="5"/>
  </si>
  <si>
    <t>●オペレーター育成</t>
  </si>
  <si>
    <t>そ　の　他</t>
  </si>
  <si>
    <t>●田植え・収穫祭の実施</t>
  </si>
  <si>
    <t>合計.M</t>
    <rPh sb="0" eb="2">
      <t>ゴウケイ</t>
    </rPh>
    <phoneticPr fontId="5"/>
  </si>
  <si>
    <t>　①　交付金の積立</t>
    <rPh sb="3" eb="6">
      <t>コウフキン</t>
    </rPh>
    <rPh sb="7" eb="9">
      <t>ツミタテ</t>
    </rPh>
    <phoneticPr fontId="5"/>
  </si>
  <si>
    <t>積立予定額</t>
    <rPh sb="0" eb="2">
      <t>ツミタテ</t>
    </rPh>
    <rPh sb="2" eb="5">
      <t>ヨテイガク</t>
    </rPh>
    <phoneticPr fontId="5"/>
  </si>
  <si>
    <t>積立累計額</t>
    <rPh sb="0" eb="2">
      <t>ツミタテ</t>
    </rPh>
    <rPh sb="2" eb="5">
      <t>ルイケイガク</t>
    </rPh>
    <phoneticPr fontId="5"/>
  </si>
  <si>
    <t>取崩予定年度
における
積立累計額</t>
  </si>
  <si>
    <t>使　途</t>
  </si>
  <si>
    <t>　②　次年度への繰越</t>
    <rPh sb="3" eb="6">
      <t>ジネンド</t>
    </rPh>
    <rPh sb="8" eb="10">
      <t>クリコシ</t>
    </rPh>
    <phoneticPr fontId="5"/>
  </si>
  <si>
    <t>緩傾斜</t>
    <rPh sb="0" eb="3">
      <t>カンケイシャ</t>
    </rPh>
    <phoneticPr fontId="5"/>
  </si>
  <si>
    <t>○　繰越予定額：</t>
    <rPh sb="2" eb="4">
      <t>クリコシ</t>
    </rPh>
    <rPh sb="4" eb="6">
      <t>ヨテイ</t>
    </rPh>
    <rPh sb="6" eb="7">
      <t>ガク</t>
    </rPh>
    <phoneticPr fontId="5"/>
  </si>
  <si>
    <t>○　使途：</t>
    <rPh sb="2" eb="4">
      <t>シト</t>
    </rPh>
    <phoneticPr fontId="5"/>
  </si>
  <si>
    <t>協定書記載の
取組み内容</t>
    <rPh sb="0" eb="3">
      <t>キョウテイショ</t>
    </rPh>
    <rPh sb="3" eb="5">
      <t>キサイ</t>
    </rPh>
    <rPh sb="7" eb="9">
      <t>トリク</t>
    </rPh>
    <rPh sb="10" eb="12">
      <t>ナイヨウ</t>
    </rPh>
    <phoneticPr fontId="5"/>
  </si>
  <si>
    <t>購入先</t>
    <rPh sb="0" eb="3">
      <t>コウニュウサキ</t>
    </rPh>
    <phoneticPr fontId="5"/>
  </si>
  <si>
    <t>負担区分（円）</t>
    <rPh sb="0" eb="2">
      <t>フタン</t>
    </rPh>
    <rPh sb="2" eb="4">
      <t>クブン</t>
    </rPh>
    <rPh sb="5" eb="6">
      <t>エン</t>
    </rPh>
    <phoneticPr fontId="5"/>
  </si>
  <si>
    <t>処分制限期間</t>
    <rPh sb="0" eb="2">
      <t>ショブン</t>
    </rPh>
    <rPh sb="2" eb="4">
      <t>セイゲン</t>
    </rPh>
    <rPh sb="4" eb="6">
      <t>キカン</t>
    </rPh>
    <phoneticPr fontId="5"/>
  </si>
  <si>
    <t>処分の状況</t>
    <rPh sb="0" eb="2">
      <t>ショブン</t>
    </rPh>
    <rPh sb="3" eb="5">
      <t>ジョウキョウ</t>
    </rPh>
    <phoneticPr fontId="5"/>
  </si>
  <si>
    <t>着工年月日</t>
    <rPh sb="0" eb="2">
      <t>チャッコウ</t>
    </rPh>
    <rPh sb="2" eb="5">
      <t>ネンガッピ</t>
    </rPh>
    <phoneticPr fontId="5"/>
  </si>
  <si>
    <t>交付金</t>
    <rPh sb="0" eb="3">
      <t>コウフキン</t>
    </rPh>
    <phoneticPr fontId="5"/>
  </si>
  <si>
    <t>承認年月日</t>
    <rPh sb="0" eb="2">
      <t>ショウニン</t>
    </rPh>
    <rPh sb="2" eb="5">
      <t>ネンガッピ</t>
    </rPh>
    <phoneticPr fontId="5"/>
  </si>
  <si>
    <t>（集落協定名：○○）</t>
    <rPh sb="1" eb="3">
      <t>シュウラク</t>
    </rPh>
    <rPh sb="3" eb="5">
      <t>キョウテイ</t>
    </rPh>
    <rPh sb="5" eb="6">
      <t>メイ</t>
    </rPh>
    <phoneticPr fontId="5"/>
  </si>
  <si>
    <t>格納庫</t>
    <rPh sb="0" eb="3">
      <t>カクノウコ</t>
    </rPh>
    <phoneticPr fontId="5"/>
  </si>
  <si>
    <t>木造</t>
    <rPh sb="0" eb="2">
      <t>モクゾウ</t>
    </rPh>
    <phoneticPr fontId="5"/>
  </si>
  <si>
    <t>○○中山間組合</t>
    <rPh sb="2" eb="5">
      <t>チュウサンカン</t>
    </rPh>
    <rPh sb="5" eb="7">
      <t>クミアイ</t>
    </rPh>
    <phoneticPr fontId="5"/>
  </si>
  <si>
    <t>－</t>
  </si>
  <si>
    <t>刈払い機</t>
    <rPh sb="0" eb="1">
      <t>カリ</t>
    </rPh>
    <rPh sb="1" eb="2">
      <t>ハラ</t>
    </rPh>
    <rPh sb="3" eb="4">
      <t>キ</t>
    </rPh>
    <phoneticPr fontId="89"/>
  </si>
  <si>
    <t>AB０１００</t>
  </si>
  <si>
    <t>○○集落営農格納庫
（安来市○○町１２３）</t>
    <rPh sb="2" eb="4">
      <t>シュウラク</t>
    </rPh>
    <rPh sb="4" eb="6">
      <t>エイノウ</t>
    </rPh>
    <rPh sb="6" eb="9">
      <t>カクノウコ</t>
    </rPh>
    <rPh sb="11" eb="14">
      <t>ヤスギシ</t>
    </rPh>
    <rPh sb="16" eb="17">
      <t>チョウ</t>
    </rPh>
    <phoneticPr fontId="5"/>
  </si>
  <si>
    <t>田植機</t>
    <rPh sb="0" eb="3">
      <t>タウエキ</t>
    </rPh>
    <phoneticPr fontId="5"/>
  </si>
  <si>
    <t>共　同　作　業　日　誌</t>
    <rPh sb="0" eb="1">
      <t>トモ</t>
    </rPh>
    <rPh sb="2" eb="3">
      <t>ドウ</t>
    </rPh>
    <rPh sb="4" eb="5">
      <t>サク</t>
    </rPh>
    <rPh sb="6" eb="7">
      <t>ギョウ</t>
    </rPh>
    <rPh sb="8" eb="9">
      <t>ヒ</t>
    </rPh>
    <rPh sb="10" eb="11">
      <t>シ</t>
    </rPh>
    <phoneticPr fontId="5"/>
  </si>
  <si>
    <t>作業日時</t>
    <rPh sb="0" eb="2">
      <t>サギョウ</t>
    </rPh>
    <rPh sb="2" eb="4">
      <t>ニチジ</t>
    </rPh>
    <phoneticPr fontId="5"/>
  </si>
  <si>
    <t>（活動風景:写真貼付）</t>
    <rPh sb="1" eb="3">
      <t>カツドウ</t>
    </rPh>
    <rPh sb="3" eb="5">
      <t>フウケイ</t>
    </rPh>
    <rPh sb="6" eb="8">
      <t>シャシン</t>
    </rPh>
    <rPh sb="8" eb="10">
      <t>ハリツケ</t>
    </rPh>
    <phoneticPr fontId="5"/>
  </si>
  <si>
    <t>参加者</t>
    <rPh sb="0" eb="3">
      <t>サンカシャ</t>
    </rPh>
    <phoneticPr fontId="5"/>
  </si>
  <si>
    <t>支出先等</t>
    <rPh sb="0" eb="3">
      <t>シシュツサキ</t>
    </rPh>
    <rPh sb="3" eb="4">
      <t>トウ</t>
    </rPh>
    <phoneticPr fontId="5"/>
  </si>
  <si>
    <t>備　　　考</t>
    <rPh sb="0" eb="1">
      <t>ソノウ</t>
    </rPh>
    <rPh sb="4" eb="5">
      <t>コウ</t>
    </rPh>
    <phoneticPr fontId="5"/>
  </si>
  <si>
    <t>メモ</t>
  </si>
  <si>
    <t>備　考</t>
    <rPh sb="0" eb="1">
      <t>ビン</t>
    </rPh>
    <rPh sb="2" eb="3">
      <t>コウ</t>
    </rPh>
    <phoneticPr fontId="5"/>
  </si>
  <si>
    <t>円（A～M合計）</t>
    <rPh sb="0" eb="1">
      <t>エン</t>
    </rPh>
    <rPh sb="5" eb="7">
      <t>ゴウケイ</t>
    </rPh>
    <phoneticPr fontId="5"/>
  </si>
  <si>
    <t>金銭出納簿を作成する。</t>
    <rPh sb="0" eb="2">
      <t>キンセン</t>
    </rPh>
    <rPh sb="2" eb="5">
      <t>スイトウボ</t>
    </rPh>
    <rPh sb="6" eb="8">
      <t>サクセイ</t>
    </rPh>
    <phoneticPr fontId="5"/>
  </si>
  <si>
    <t>領収書を支出項目ごとに分類。（領収に記号A～Mの文字を記入）　　        　　　　　　</t>
    <rPh sb="0" eb="3">
      <t>リョウシュウショ</t>
    </rPh>
    <rPh sb="4" eb="6">
      <t>シシュツ</t>
    </rPh>
    <rPh sb="6" eb="8">
      <t>コウモク</t>
    </rPh>
    <rPh sb="11" eb="13">
      <t>ブンルイ</t>
    </rPh>
    <rPh sb="15" eb="17">
      <t>リョウシュウ</t>
    </rPh>
    <rPh sb="18" eb="20">
      <t>キゴウ</t>
    </rPh>
    <rPh sb="24" eb="26">
      <t>モジ</t>
    </rPh>
    <rPh sb="27" eb="29">
      <t>キニュウ</t>
    </rPh>
    <phoneticPr fontId="5"/>
  </si>
  <si>
    <t>（３月提出する実績報告書にも使用します）</t>
    <rPh sb="2" eb="3">
      <t>ガツ</t>
    </rPh>
    <rPh sb="3" eb="5">
      <t>テイシュツ</t>
    </rPh>
    <rPh sb="7" eb="9">
      <t>ジッセキ</t>
    </rPh>
    <rPh sb="9" eb="11">
      <t>ホウコク</t>
    </rPh>
    <rPh sb="11" eb="12">
      <t>ショ</t>
    </rPh>
    <rPh sb="14" eb="16">
      <t>シヨウ</t>
    </rPh>
    <phoneticPr fontId="5"/>
  </si>
  <si>
    <t>シートの「報告区分」の欄について及び「加算措置取組」の欄についてをお読みください。</t>
    <rPh sb="16" eb="17">
      <t>オヨ</t>
    </rPh>
    <rPh sb="34" eb="35">
      <t>ヨ</t>
    </rPh>
    <phoneticPr fontId="5"/>
  </si>
  <si>
    <t>（活動風景:写真貼付）</t>
  </si>
  <si>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</si>
  <si>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</si>
  <si>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</si>
  <si>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令和６年度</t>
    <rPh sb="0" eb="2">
      <t>レイワ</t>
    </rPh>
    <rPh sb="3" eb="5">
      <t>ネンド</t>
    </rPh>
    <phoneticPr fontId="5"/>
  </si>
  <si>
    <t>農薬散布用ドローン</t>
  </si>
  <si>
    <t>1～4で行ったものを科目別、費目ごとに入力（内訳を備考欄へ入力）</t>
    <rPh sb="4" eb="5">
      <t>オコナ</t>
    </rPh>
    <rPh sb="10" eb="12">
      <t>カモク</t>
    </rPh>
    <rPh sb="12" eb="13">
      <t>ベツ</t>
    </rPh>
    <rPh sb="14" eb="16">
      <t>ヒモク</t>
    </rPh>
    <rPh sb="19" eb="21">
      <t>ニュウリョク</t>
    </rPh>
    <rPh sb="22" eb="24">
      <t>ウチワケ</t>
    </rPh>
    <rPh sb="25" eb="27">
      <t>ビコウ</t>
    </rPh>
    <rPh sb="27" eb="28">
      <t>ラン</t>
    </rPh>
    <rPh sb="29" eb="31">
      <t>ニュウリョク</t>
    </rPh>
    <phoneticPr fontId="5"/>
  </si>
  <si>
    <t>L.都市住民との交流促進関係費</t>
    <rPh sb="2" eb="4">
      <t>トシ</t>
    </rPh>
    <rPh sb="4" eb="6">
      <t>ジュウミン</t>
    </rPh>
    <rPh sb="8" eb="10">
      <t>コウリュウ</t>
    </rPh>
    <rPh sb="10" eb="12">
      <t>ソクシン</t>
    </rPh>
    <rPh sb="12" eb="15">
      <t>カンケイヒ</t>
    </rPh>
    <phoneticPr fontId="5"/>
  </si>
  <si>
    <t>申告年↓</t>
    <rPh sb="0" eb="2">
      <t>シンコク</t>
    </rPh>
    <rPh sb="2" eb="3">
      <t>ネン</t>
    </rPh>
    <phoneticPr fontId="5"/>
  </si>
  <si>
    <t>(4)生産性向上加算</t>
    <rPh sb="3" eb="6">
      <t>セイサンセイ</t>
    </rPh>
    <rPh sb="6" eb="8">
      <t>コウジョウ</t>
    </rPh>
    <phoneticPr fontId="5"/>
  </si>
  <si>
    <t>(4)生産性向上加算</t>
    <rPh sb="3" eb="6">
      <t>セイサンセイ</t>
    </rPh>
    <rPh sb="6" eb="8">
      <t>コウジョウ</t>
    </rPh>
    <rPh sb="8" eb="10">
      <t>カサン</t>
    </rPh>
    <phoneticPr fontId="5"/>
  </si>
  <si>
    <t>様式第2号（第4条関係）</t>
    <rPh sb="0" eb="2">
      <t>ヨウシキ</t>
    </rPh>
    <rPh sb="2" eb="3">
      <t>ダイ</t>
    </rPh>
    <rPh sb="4" eb="5">
      <t>ゴウ</t>
    </rPh>
    <rPh sb="6" eb="7">
      <t>ダイ</t>
    </rPh>
    <rPh sb="8" eb="9">
      <t>ジョウ</t>
    </rPh>
    <rPh sb="9" eb="11">
      <t>カンケイ</t>
    </rPh>
    <phoneticPr fontId="5"/>
  </si>
  <si>
    <t>令和　　年　　月　　日</t>
    <rPh sb="4" eb="5">
      <t>ネン</t>
    </rPh>
    <rPh sb="7" eb="8">
      <t>ガツ</t>
    </rPh>
    <rPh sb="10" eb="11">
      <t>ニチ</t>
    </rPh>
    <phoneticPr fontId="5"/>
  </si>
  <si>
    <t>代表者住所：</t>
    <rPh sb="0" eb="3">
      <t>ダイヒョウシャ</t>
    </rPh>
    <rPh sb="3" eb="5">
      <t>ジュウショ</t>
    </rPh>
    <phoneticPr fontId="5"/>
  </si>
  <si>
    <t>代表者氏名：</t>
    <rPh sb="0" eb="3">
      <t>ダイヒョウシャ</t>
    </rPh>
    <rPh sb="3" eb="5">
      <t>シメイ</t>
    </rPh>
    <phoneticPr fontId="5"/>
  </si>
  <si>
    <t>令和　　年　　月　　日付け指令安農林第　　　　号で交付決定のあった交付金事業について、次のとおり事業を実施したので、安来市中山間地域等直接支払交付金交付要綱第4条の規定により、その実績を別紙により報告する。</t>
  </si>
  <si>
    <t xml:space="preserve">                                                                                                                                                                                                                                              </t>
  </si>
  <si>
    <t>　１　協定参加者</t>
    <rPh sb="3" eb="5">
      <t>キョウテイ</t>
    </rPh>
    <rPh sb="5" eb="8">
      <t>サンカシャ</t>
    </rPh>
    <phoneticPr fontId="5"/>
  </si>
  <si>
    <t>農業者</t>
    <rPh sb="0" eb="3">
      <t>ノウギョウシャ</t>
    </rPh>
    <phoneticPr fontId="5"/>
  </si>
  <si>
    <t>　２　協定農用地面積及び交付金の内訳</t>
    <rPh sb="3" eb="5">
      <t>キョウテイ</t>
    </rPh>
    <rPh sb="5" eb="8">
      <t>ノウヨウチ</t>
    </rPh>
    <rPh sb="8" eb="10">
      <t>メンセキ</t>
    </rPh>
    <rPh sb="10" eb="11">
      <t>オヨ</t>
    </rPh>
    <rPh sb="12" eb="15">
      <t>コウフキン</t>
    </rPh>
    <rPh sb="16" eb="18">
      <t>ウチワケ</t>
    </rPh>
    <phoneticPr fontId="5"/>
  </si>
  <si>
    <t>オペレーター賃金</t>
    <rPh sb="6" eb="8">
      <t>チンギン</t>
    </rPh>
    <phoneticPr fontId="89"/>
  </si>
  <si>
    <t>区　　　　　分</t>
    <rPh sb="0" eb="1">
      <t>ク</t>
    </rPh>
    <rPh sb="6" eb="7">
      <t>ブン</t>
    </rPh>
    <phoneticPr fontId="5"/>
  </si>
  <si>
    <t>交付受給額（円）</t>
    <rPh sb="0" eb="2">
      <t>コウフ</t>
    </rPh>
    <rPh sb="2" eb="5">
      <t>ジュキュウガク</t>
    </rPh>
    <rPh sb="6" eb="7">
      <t>エン</t>
    </rPh>
    <phoneticPr fontId="5"/>
  </si>
  <si>
    <t>急傾斜</t>
    <rPh sb="0" eb="3">
      <t>キュウケイシャ</t>
    </rPh>
    <phoneticPr fontId="5"/>
  </si>
  <si>
    <t>小計</t>
    <rPh sb="0" eb="2">
      <t>ショウケイ</t>
    </rPh>
    <phoneticPr fontId="5"/>
  </si>
  <si>
    <t>畑</t>
    <rPh sb="0" eb="1">
      <t>ハタ</t>
    </rPh>
    <phoneticPr fontId="5"/>
  </si>
  <si>
    <t>その他交付対象外面積</t>
    <rPh sb="2" eb="3">
      <t>タ</t>
    </rPh>
    <rPh sb="3" eb="5">
      <t>コウフ</t>
    </rPh>
    <rPh sb="5" eb="8">
      <t>タイショウガイ</t>
    </rPh>
    <rPh sb="8" eb="10">
      <t>メンセキ</t>
    </rPh>
    <phoneticPr fontId="5"/>
  </si>
  <si>
    <t>合　　　　計</t>
    <rPh sb="0" eb="1">
      <t>ゴウ</t>
    </rPh>
    <rPh sb="5" eb="6">
      <t>ケイ</t>
    </rPh>
    <phoneticPr fontId="5"/>
  </si>
  <si>
    <t>燃料代</t>
    <rPh sb="0" eb="2">
      <t>ネンリョウ</t>
    </rPh>
    <rPh sb="2" eb="3">
      <t>ダイ</t>
    </rPh>
    <phoneticPr fontId="5"/>
  </si>
  <si>
    <t>超急傾斜農地保全管理</t>
  </si>
  <si>
    <t>集落機能強化</t>
  </si>
  <si>
    <t>中山間直接支払収支項目一覧</t>
    <rPh sb="0" eb="2">
      <t>ナカヤマ</t>
    </rPh>
    <rPh sb="2" eb="3">
      <t>アイダ</t>
    </rPh>
    <rPh sb="3" eb="5">
      <t>チョクセツ</t>
    </rPh>
    <rPh sb="5" eb="7">
      <t>シハラ</t>
    </rPh>
    <rPh sb="7" eb="9">
      <t>シュウシ</t>
    </rPh>
    <rPh sb="9" eb="11">
      <t>コウモク</t>
    </rPh>
    <rPh sb="11" eb="13">
      <t>イチラン</t>
    </rPh>
    <phoneticPr fontId="5"/>
  </si>
  <si>
    <t>農機具等の購入費
（※農機具代/協定人数が10万円以上は共同利用機械購入）</t>
    <rPh sb="0" eb="5">
      <t>ノウキグ</t>
    </rPh>
    <rPh sb="16" eb="20">
      <t>キョウテ</t>
    </rPh>
    <phoneticPr fontId="5"/>
  </si>
  <si>
    <t>代表</t>
    <rPh sb="0" eb="2">
      <t>ダイヒョウ</t>
    </rPh>
    <phoneticPr fontId="90"/>
  </si>
  <si>
    <t>十神　どじょ夫</t>
    <rPh sb="0" eb="1">
      <t>ジュウ</t>
    </rPh>
    <rPh sb="1" eb="2">
      <t>カミ</t>
    </rPh>
    <rPh sb="6" eb="7">
      <t>オット</t>
    </rPh>
    <phoneticPr fontId="90"/>
  </si>
  <si>
    <t>尼子　経久</t>
  </si>
  <si>
    <t>山中　鹿介</t>
    <rPh sb="4" eb="5">
      <t>スケ</t>
    </rPh>
    <phoneticPr fontId="90"/>
  </si>
  <si>
    <t>安来　一郎</t>
  </si>
  <si>
    <t>伯太　三郎</t>
  </si>
  <si>
    <t>奥安来</t>
    <rPh sb="0" eb="1">
      <t>オク</t>
    </rPh>
    <rPh sb="1" eb="3">
      <t>ヤスギ</t>
    </rPh>
    <phoneticPr fontId="90"/>
  </si>
  <si>
    <t>奥安来集会所</t>
    <rPh sb="0" eb="1">
      <t>オク</t>
    </rPh>
    <rPh sb="1" eb="3">
      <t>ヤスギ</t>
    </rPh>
    <rPh sb="3" eb="5">
      <t>シュウカイ</t>
    </rPh>
    <rPh sb="5" eb="6">
      <t>ジョ</t>
    </rPh>
    <phoneticPr fontId="5"/>
  </si>
  <si>
    <t>総会（昼食弁当代）</t>
    <rPh sb="0" eb="2">
      <t>ソウカイ</t>
    </rPh>
    <rPh sb="3" eb="5">
      <t>チュウショク</t>
    </rPh>
    <rPh sb="5" eb="7">
      <t>ベントウ</t>
    </rPh>
    <rPh sb="7" eb="8">
      <t>ダイ</t>
    </rPh>
    <phoneticPr fontId="5"/>
  </si>
  <si>
    <t>広瀬商店</t>
  </si>
  <si>
    <t>共同防除費</t>
    <rPh sb="0" eb="2">
      <t>キョウドウ</t>
    </rPh>
    <rPh sb="2" eb="4">
      <t>ボウジョ</t>
    </rPh>
    <rPh sb="4" eb="5">
      <t>ヒ</t>
    </rPh>
    <phoneticPr fontId="5"/>
  </si>
  <si>
    <t>はくたカンパニー</t>
  </si>
  <si>
    <t>農道補修用砕石</t>
    <rPh sb="0" eb="2">
      <t>ノウドウ</t>
    </rPh>
    <rPh sb="2" eb="5">
      <t>ホシュウヨウ</t>
    </rPh>
    <rPh sb="5" eb="7">
      <t>サイセキ</t>
    </rPh>
    <phoneticPr fontId="5"/>
  </si>
  <si>
    <t>JA</t>
  </si>
  <si>
    <t>やすぎや</t>
  </si>
  <si>
    <t>○○○○
他9名</t>
    <rPh sb="5" eb="6">
      <t>ホカ</t>
    </rPh>
    <rPh sb="7" eb="8">
      <t>メイ</t>
    </rPh>
    <phoneticPr fontId="5"/>
  </si>
  <si>
    <t>作業賃金</t>
    <rPh sb="0" eb="2">
      <t>サギョウ</t>
    </rPh>
    <rPh sb="2" eb="4">
      <t>チンギン</t>
    </rPh>
    <phoneticPr fontId="5"/>
  </si>
  <si>
    <t>メッシュ　@500×50枚</t>
  </si>
  <si>
    <t>331－1番地　田　客土</t>
  </si>
  <si>
    <t>安来工務店</t>
    <rPh sb="2" eb="5">
      <t>コウムテン</t>
    </rPh>
    <phoneticPr fontId="5"/>
  </si>
  <si>
    <t>短期共済掛け金</t>
  </si>
  <si>
    <t>350,000円×10人</t>
  </si>
  <si>
    <t>こんにゃく出荷用ダンボール箱</t>
  </si>
  <si>
    <t xml:space="preserve">3,000円×100日 </t>
    <rPh sb="5" eb="6">
      <t>エン</t>
    </rPh>
    <rPh sb="10" eb="11">
      <t>ニチ</t>
    </rPh>
    <phoneticPr fontId="5"/>
  </si>
  <si>
    <t>公民館使用料</t>
    <rPh sb="0" eb="3">
      <t>コウミンカン</t>
    </rPh>
    <rPh sb="3" eb="6">
      <t>シヨウリョウ</t>
    </rPh>
    <phoneticPr fontId="89"/>
  </si>
  <si>
    <t>昼食弁当代</t>
    <rPh sb="0" eb="2">
      <t>チュウショク</t>
    </rPh>
    <rPh sb="2" eb="4">
      <t>ベントウ</t>
    </rPh>
    <rPh sb="4" eb="5">
      <t>ダイ</t>
    </rPh>
    <phoneticPr fontId="89"/>
  </si>
  <si>
    <t>保全管理地景観作物作付用コスモス種</t>
    <rPh sb="0" eb="2">
      <t>ホゼン</t>
    </rPh>
    <rPh sb="2" eb="4">
      <t>カンリ</t>
    </rPh>
    <rPh sb="4" eb="5">
      <t>チ</t>
    </rPh>
    <rPh sb="5" eb="7">
      <t>ケイカン</t>
    </rPh>
    <rPh sb="7" eb="9">
      <t>サクモツ</t>
    </rPh>
    <rPh sb="9" eb="11">
      <t>サクツケ</t>
    </rPh>
    <rPh sb="11" eb="12">
      <t>ヨウ</t>
    </rPh>
    <rPh sb="16" eb="17">
      <t>タネ</t>
    </rPh>
    <phoneticPr fontId="89"/>
  </si>
  <si>
    <t>トタンはり　10人×＠3,000</t>
    <rPh sb="8" eb="9">
      <t>ニン</t>
    </rPh>
    <phoneticPr fontId="89"/>
  </si>
  <si>
    <t>水路清掃・周辺除草、農道補修</t>
    <rPh sb="0" eb="2">
      <t>スイロ</t>
    </rPh>
    <rPh sb="2" eb="4">
      <t>セイソウ</t>
    </rPh>
    <rPh sb="5" eb="7">
      <t>シュウヘン</t>
    </rPh>
    <rPh sb="7" eb="9">
      <t>ジョソウ</t>
    </rPh>
    <rPh sb="10" eb="12">
      <t>ノウドウ</t>
    </rPh>
    <rPh sb="12" eb="14">
      <t>ホシュウ</t>
    </rPh>
    <phoneticPr fontId="5"/>
  </si>
  <si>
    <t>@800×5h×10名</t>
    <rPh sb="10" eb="11">
      <t>メイ</t>
    </rPh>
    <phoneticPr fontId="5"/>
  </si>
  <si>
    <t>※参加した者の氏名を記入</t>
    <rPh sb="1" eb="3">
      <t>サンカ</t>
    </rPh>
    <rPh sb="5" eb="6">
      <t>モノ</t>
    </rPh>
    <rPh sb="7" eb="9">
      <t>シメイ</t>
    </rPh>
    <rPh sb="10" eb="12">
      <t>キニュウ</t>
    </rPh>
    <phoneticPr fontId="5"/>
  </si>
  <si>
    <t>出役費</t>
    <rPh sb="0" eb="1">
      <t>シュツ</t>
    </rPh>
    <rPh sb="1" eb="2">
      <t>エキ</t>
    </rPh>
    <rPh sb="2" eb="3">
      <t>ヒ</t>
    </rPh>
    <phoneticPr fontId="5"/>
  </si>
  <si>
    <t>混合油
@175×10㍑</t>
    <rPh sb="0" eb="3">
      <t>コンゴウユ</t>
    </rPh>
    <phoneticPr fontId="5"/>
  </si>
  <si>
    <t>令和６年　６月　１８日（日）　　９時　～　１４時　（　６時間）</t>
    <rPh sb="0" eb="2">
      <t>レイワ</t>
    </rPh>
    <rPh sb="3" eb="4">
      <t>ネン</t>
    </rPh>
    <rPh sb="6" eb="7">
      <t>ガツ</t>
    </rPh>
    <rPh sb="10" eb="11">
      <t>ニチ</t>
    </rPh>
    <rPh sb="12" eb="13">
      <t>ニチ</t>
    </rPh>
    <rPh sb="17" eb="18">
      <t>ジ</t>
    </rPh>
    <rPh sb="23" eb="24">
      <t>ジ</t>
    </rPh>
    <rPh sb="28" eb="30">
      <t>ジカン</t>
    </rPh>
    <phoneticPr fontId="5"/>
  </si>
  <si>
    <t>　４　交付金の収支実績（決算）　（令和6年4月1日～令和7年3月31日）</t>
    <rPh sb="3" eb="6">
      <t>コウフキン</t>
    </rPh>
    <rPh sb="7" eb="9">
      <t>シュウシ</t>
    </rPh>
    <rPh sb="9" eb="11">
      <t>ジッセキ</t>
    </rPh>
    <rPh sb="12" eb="14">
      <t>ケッサン</t>
    </rPh>
    <rPh sb="17" eb="19">
      <t>レイワ</t>
    </rPh>
    <rPh sb="20" eb="21">
      <t>ネン</t>
    </rPh>
    <rPh sb="22" eb="23">
      <t>ガツ</t>
    </rPh>
    <rPh sb="24" eb="25">
      <t>ニチ</t>
    </rPh>
    <rPh sb="26" eb="28">
      <t>レイワ</t>
    </rPh>
    <rPh sb="29" eb="30">
      <t>ネン</t>
    </rPh>
    <rPh sb="31" eb="32">
      <t>ガツ</t>
    </rPh>
    <rPh sb="34" eb="35">
      <t>ニチ</t>
    </rPh>
    <phoneticPr fontId="5"/>
  </si>
  <si>
    <t>合計.イ</t>
    <rPh sb="0" eb="2">
      <t>ゴウケイ</t>
    </rPh>
    <phoneticPr fontId="5"/>
  </si>
  <si>
    <t>合計.K</t>
    <rPh sb="0" eb="2">
      <t>ゴウケイ</t>
    </rPh>
    <phoneticPr fontId="5"/>
  </si>
  <si>
    <t>合計.L</t>
    <rPh sb="0" eb="2">
      <t>ゴウケイ</t>
    </rPh>
    <phoneticPr fontId="5"/>
  </si>
  <si>
    <t>　令和5年末通帳残高（去年の収支報告で計上した末尾）と令和6年末通帳残高を入力</t>
    <rPh sb="1" eb="3">
      <t>レイワ</t>
    </rPh>
    <rPh sb="4" eb="6">
      <t>ネンマツ</t>
    </rPh>
    <rPh sb="6" eb="8">
      <t>ツウチョウ</t>
    </rPh>
    <rPh sb="8" eb="10">
      <t>ザンダカ</t>
    </rPh>
    <rPh sb="11" eb="13">
      <t>キョネン</t>
    </rPh>
    <rPh sb="14" eb="16">
      <t>シュウシ</t>
    </rPh>
    <rPh sb="16" eb="18">
      <t>ホウコク</t>
    </rPh>
    <rPh sb="19" eb="21">
      <t>ケイジョウ</t>
    </rPh>
    <rPh sb="23" eb="25">
      <t>スエオ</t>
    </rPh>
    <rPh sb="27" eb="29">
      <t>レイワ</t>
    </rPh>
    <rPh sb="30" eb="31">
      <t>ネン</t>
    </rPh>
    <rPh sb="31" eb="32">
      <t>マツ</t>
    </rPh>
    <rPh sb="32" eb="34">
      <t>ツウチョウ</t>
    </rPh>
    <rPh sb="34" eb="36">
      <t>ザンダカ</t>
    </rPh>
    <rPh sb="37" eb="39">
      <t>ニュウリョク</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</si>
</sst>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5" formatCode="&quot;¥&quot;#,##0;&quot;¥&quot;\-#,##0"/>
    <numFmt numFmtId="6" formatCode="&quot;¥&quot;#,##0;[Red]&quot;¥&quot;\-#,##0"/>
    <numFmt numFmtId="176" formatCode="#,##0_ "/>
    <numFmt numFmtId="177" formatCode="[$-411]ge\.m\.d;@"/>
    <numFmt numFmtId="178" formatCode="0_ "/>
    <numFmt numFmtId="179" formatCode="#,##0_ ;[Red]\-#,##0\ "/>
    <numFmt numFmtId="180" formatCode="[$-411]ge\.m"/>
    <numFmt numFmtId="181" formatCode="#,##0_ &quot;円&quot;"/>
    <numFmt numFmtId="182" formatCode="#,##0;&quot;△ &quot;#,##0"/>
    <numFmt numFmtId="183" formatCode="?/12"/>
    <numFmt numFmtId="184" formatCode="[$-411]ggge&quot;年&quot;m&quot;月&quot;d&quot;日&quot;;@"/>
    <numFmt numFmtId="185" formatCode="#,##0_);[Red]\(#,##0\)"/>
    <numFmt numFmtId="186" formatCode="0.000_);[Red]\(0.000\)"/>
    <numFmt numFmtId="187" formatCode="#\ ?/10"/>
    <numFmt numFmtId="188" formatCode="0.000_ "/>
    <numFmt numFmtId="189" formatCode="0.000"/>
    <numFmt numFmtId="190" formatCode="#\ ?/100"/>
    <numFmt numFmtId="191" formatCode="#,##0.00_);[Red]\(#,##0.00\)"/>
    <numFmt numFmtId="192" formatCode="#,##0.00_ ;[Red]\-#,##0.00\ "/>
    <numFmt numFmtId="193" formatCode="0_ ;[Red]\-0\ "/>
    <numFmt numFmtId="194" formatCode="[&lt;=999]000;[&lt;=9999]000\-00;000\-0000"/>
  </numFmts>
  <fonts count="91">
    <font>
      <sz val="11"/>
      <color auto="1"/>
      <name val="ＭＳ Ｐゴシック"/>
      <family val="3"/>
    </font>
    <font>
      <sz val="11"/>
      <color theme="1"/>
      <name val="ＭＳ Ｐゴシック"/>
      <family val="3"/>
      <scheme val="minor"/>
    </font>
    <font>
      <sz val="11"/>
      <color indexed="8"/>
      <name val="ＭＳ Ｐゴシック"/>
      <family val="3"/>
    </font>
    <font>
      <sz val="11"/>
      <color auto="1"/>
      <name val="ＭＳ Ｐゴシック"/>
      <family val="3"/>
    </font>
    <font>
      <sz val="10"/>
      <color indexed="8"/>
      <name val="ＭＳ Ｐゴシック"/>
      <family val="3"/>
    </font>
    <font>
      <sz val="6"/>
      <color auto="1"/>
      <name val="ＭＳ Ｐゴシック"/>
      <family val="3"/>
    </font>
    <font>
      <sz val="12"/>
      <color auto="1"/>
      <name val="ＭＳ 明朝"/>
      <family val="1"/>
    </font>
    <font>
      <b/>
      <sz val="14"/>
      <color auto="1"/>
      <name val="ＭＳ 明朝"/>
      <family val="1"/>
    </font>
    <font>
      <b/>
      <sz val="14"/>
      <color auto="1"/>
      <name val="HG丸ｺﾞｼｯｸM-PRO"/>
      <family val="3"/>
    </font>
    <font>
      <sz val="14"/>
      <color auto="1"/>
      <name val="ＭＳ 明朝"/>
      <family val="1"/>
    </font>
    <font>
      <b/>
      <sz val="14"/>
      <color auto="1"/>
      <name val="FGP平成明朝体W9"/>
      <family val="1"/>
    </font>
    <font>
      <b/>
      <sz val="12"/>
      <color rgb="FFFF0000"/>
      <name val="ＭＳ 明朝"/>
      <family val="1"/>
    </font>
    <font>
      <b/>
      <sz val="12"/>
      <color auto="1"/>
      <name val="ＭＳ 明朝"/>
      <family val="1"/>
    </font>
    <font>
      <sz val="11"/>
      <color theme="1"/>
      <name val="ＭＳ 明朝"/>
      <family val="1"/>
    </font>
    <font>
      <sz val="12"/>
      <color theme="1"/>
      <name val="ＭＳ Ｐゴシック"/>
      <family val="3"/>
      <scheme val="minor"/>
    </font>
    <font>
      <sz val="12"/>
      <color auto="1"/>
      <name val="ＭＳ Ｐゴシック"/>
      <family val="3"/>
    </font>
    <font>
      <b/>
      <sz val="12"/>
      <color theme="1"/>
      <name val="ＭＳ 明朝"/>
      <family val="1"/>
    </font>
    <font>
      <sz val="12"/>
      <color theme="1"/>
      <name val="ＭＳ 明朝"/>
      <family val="1"/>
    </font>
    <font>
      <sz val="14"/>
      <color theme="1"/>
      <name val="FGP平成角ｺﾞｼｯｸ体W9"/>
      <family val="3"/>
    </font>
    <font>
      <sz val="12"/>
      <color auto="1"/>
      <name val="ＭＳ Ｐ明朝"/>
      <family val="1"/>
    </font>
    <font>
      <sz val="14"/>
      <color auto="1"/>
      <name val="ＭＳ Ｐゴシック"/>
      <family val="3"/>
    </font>
    <font>
      <sz val="9"/>
      <color auto="1"/>
      <name val="ＭＳ Ｐゴシック"/>
      <family val="3"/>
    </font>
    <font>
      <sz val="11"/>
      <color indexed="10"/>
      <name val="ＭＳ Ｐゴシック"/>
      <family val="3"/>
    </font>
    <font>
      <sz val="11"/>
      <color indexed="14"/>
      <name val="ＭＳ Ｐゴシック"/>
      <family val="3"/>
    </font>
    <font>
      <sz val="11"/>
      <color indexed="16"/>
      <name val="ＭＳ Ｐゴシック"/>
      <family val="3"/>
    </font>
    <font>
      <sz val="11"/>
      <color auto="1"/>
      <name val="HGP創英角ﾎﾟｯﾌﾟ体"/>
      <family val="3"/>
    </font>
    <font>
      <b/>
      <sz val="12"/>
      <color indexed="14"/>
      <name val="ＭＳ Ｐゴシック"/>
      <family val="3"/>
    </font>
    <font>
      <b/>
      <sz val="12"/>
      <color auto="1"/>
      <name val="ＭＳ Ｐゴシック"/>
      <family val="3"/>
    </font>
    <font>
      <sz val="10"/>
      <color indexed="14"/>
      <name val="ＭＳ Ｐゴシック"/>
      <family val="3"/>
    </font>
    <font>
      <sz val="11"/>
      <color auto="1"/>
      <name val="HGS創英角ﾎﾟｯﾌﾟ体"/>
      <family val="3"/>
    </font>
    <font>
      <sz val="10"/>
      <color auto="1"/>
      <name val="HGP創英角ﾎﾟｯﾌﾟ体"/>
      <family val="3"/>
    </font>
    <font>
      <sz val="10"/>
      <color rgb="FFFF0000"/>
      <name val="ＭＳ Ｐゴシック"/>
      <family val="3"/>
    </font>
    <font>
      <sz val="10"/>
      <color auto="1"/>
      <name val="ＭＳ Ｐゴシック"/>
      <family val="3"/>
    </font>
    <font>
      <sz val="10"/>
      <color indexed="10"/>
      <name val="ＭＳ Ｐゴシック"/>
      <family val="3"/>
    </font>
    <font>
      <sz val="9"/>
      <color indexed="16"/>
      <name val="ＭＳ Ｐゴシック"/>
      <family val="3"/>
    </font>
    <font>
      <b/>
      <sz val="12"/>
      <color theme="0" tint="-0.25"/>
      <name val="ＭＳ Ｐゴシック"/>
      <family val="3"/>
    </font>
    <font>
      <sz val="11"/>
      <color theme="0" tint="-0.25"/>
      <name val="ＭＳ Ｐゴシック"/>
      <family val="3"/>
    </font>
    <font>
      <sz val="10"/>
      <color indexed="16"/>
      <name val="ＭＳ Ｐゴシック"/>
      <family val="3"/>
    </font>
    <font>
      <b/>
      <sz val="14"/>
      <color auto="1"/>
      <name val="ＭＳ Ｐゴシック"/>
      <family val="3"/>
    </font>
    <font>
      <sz val="10"/>
      <color theme="0" tint="-0.25"/>
      <name val="ＭＳ Ｐゴシック"/>
      <family val="3"/>
    </font>
    <font>
      <b/>
      <sz val="11"/>
      <color auto="1"/>
      <name val="ＭＳ Ｐゴシック"/>
      <family val="3"/>
    </font>
    <font>
      <sz val="10"/>
      <color indexed="53"/>
      <name val="ＭＳ Ｐゴシック"/>
      <family val="3"/>
    </font>
    <font>
      <sz val="14"/>
      <color theme="1"/>
      <name val="ＭＳ 明朝"/>
      <family val="1"/>
    </font>
    <font>
      <sz val="9"/>
      <color theme="1"/>
      <name val="ＭＳ 明朝"/>
      <family val="1"/>
    </font>
    <font>
      <sz val="11"/>
      <color auto="1"/>
      <name val="ＭＳ 明朝"/>
      <family val="1"/>
    </font>
    <font>
      <b/>
      <sz val="12"/>
      <color indexed="17"/>
      <name val="ＭＳ Ｐゴシック"/>
      <family val="3"/>
    </font>
    <font>
      <b/>
      <sz val="12"/>
      <color indexed="52"/>
      <name val="ＭＳ Ｐゴシック"/>
      <family val="3"/>
    </font>
    <font>
      <sz val="12"/>
      <color indexed="10"/>
      <name val="ＭＳ Ｐゴシック"/>
      <family val="3"/>
    </font>
    <font>
      <sz val="12"/>
      <color auto="1"/>
      <name val="ＭＳ ゴシック"/>
      <family val="3"/>
    </font>
    <font>
      <sz val="12"/>
      <color theme="0"/>
      <name val="ＭＳ 明朝"/>
      <family val="1"/>
    </font>
    <font>
      <sz val="14"/>
      <color indexed="10"/>
      <name val="ＭＳ 明朝"/>
      <family val="1"/>
    </font>
    <font>
      <sz val="12"/>
      <color theme="0"/>
      <name val="ＭＳ ゴシック"/>
      <family val="3"/>
    </font>
    <font>
      <sz val="10"/>
      <color auto="1"/>
      <name val="ＭＳ ゴシック"/>
      <family val="3"/>
    </font>
    <font>
      <sz val="8"/>
      <color auto="1"/>
      <name val="ＭＳ 明朝"/>
      <family val="1"/>
    </font>
    <font>
      <sz val="14"/>
      <color auto="1"/>
      <name val="ＭＳ ゴシック"/>
      <family val="3"/>
    </font>
    <font>
      <sz val="11"/>
      <color auto="1"/>
      <name val="ＭＳ Ｐ明朝"/>
      <family val="1"/>
    </font>
    <font>
      <sz val="10"/>
      <color auto="1"/>
      <name val="ＭＳ Ｐ明朝"/>
      <family val="1"/>
    </font>
    <font>
      <b/>
      <sz val="14"/>
      <color auto="1"/>
      <name val="ＭＳ Ｐ明朝"/>
      <family val="1"/>
    </font>
    <font>
      <sz val="11"/>
      <color auto="1"/>
      <name val="ＭＳ ゴシック"/>
      <family val="3"/>
    </font>
    <font>
      <b/>
      <sz val="12"/>
      <color auto="1"/>
      <name val="ＭＳ Ｐ明朝"/>
      <family val="1"/>
    </font>
    <font>
      <b/>
      <sz val="11"/>
      <color auto="1"/>
      <name val="ＭＳ Ｐ明朝"/>
      <family val="1"/>
    </font>
    <font>
      <sz val="9"/>
      <color auto="1"/>
      <name val="ＭＳ Ｐ明朝"/>
      <family val="1"/>
    </font>
    <font>
      <sz val="8"/>
      <color auto="1"/>
      <name val="ＭＳ Ｐ明朝"/>
      <family val="1"/>
    </font>
    <font>
      <sz val="18"/>
      <color auto="1"/>
      <name val="ＤＨＰ行書体"/>
      <family val="4"/>
    </font>
    <font>
      <sz val="12"/>
      <color indexed="53"/>
      <name val="ＭＳ 明朝"/>
      <family val="1"/>
    </font>
    <font>
      <sz val="11"/>
      <color indexed="10"/>
      <name val="HG丸ｺﾞｼｯｸM-PRO"/>
      <family val="3"/>
    </font>
    <font>
      <sz val="8"/>
      <color auto="1"/>
      <name val="ＭＳ Ｐゴシック"/>
      <family val="3"/>
    </font>
    <font>
      <sz val="11"/>
      <color indexed="53"/>
      <name val="ＭＳ 明朝"/>
      <family val="1"/>
    </font>
    <font>
      <sz val="11"/>
      <color indexed="20"/>
      <name val="ＭＳ Ｐゴシック"/>
      <family val="3"/>
    </font>
    <font>
      <sz val="12"/>
      <color indexed="14"/>
      <name val="ＭＳ Ｐゴシック"/>
      <family val="3"/>
    </font>
    <font>
      <b/>
      <sz val="16"/>
      <color auto="1"/>
      <name val="ＭＳ Ｐゴシック"/>
      <family val="3"/>
    </font>
    <font>
      <sz val="11"/>
      <color indexed="52"/>
      <name val="ＭＳ Ｐゴシック"/>
      <family val="3"/>
    </font>
    <font>
      <sz val="11"/>
      <color indexed="52"/>
      <name val="HG丸ｺﾞｼｯｸM-PRO"/>
      <family val="3"/>
    </font>
    <font>
      <sz val="11"/>
      <color theme="1"/>
      <name val="ＭＳ ゴシック"/>
      <family val="3"/>
    </font>
    <font>
      <sz val="24"/>
      <color theme="1"/>
      <name val="ＭＳ ゴシック"/>
      <family val="3"/>
    </font>
    <font>
      <sz val="8"/>
      <color theme="1"/>
      <name val="ＭＳ 明朝"/>
      <family val="1"/>
    </font>
    <font>
      <u/>
      <sz val="12"/>
      <color theme="1"/>
      <name val="ＭＳ 明朝"/>
      <family val="1"/>
    </font>
    <font>
      <sz val="10"/>
      <color theme="1"/>
      <name val="ＭＳ 明朝"/>
      <family val="1"/>
    </font>
    <font>
      <b/>
      <sz val="14"/>
      <color indexed="8"/>
      <name val="ＭＳ Ｐゴシック"/>
      <family val="3"/>
    </font>
    <font>
      <b/>
      <sz val="11"/>
      <color indexed="8"/>
      <name val="ＭＳ Ｐゴシック"/>
      <family val="3"/>
    </font>
    <font>
      <sz val="12"/>
      <color indexed="8"/>
      <name val="ＭＳ Ｐゴシック"/>
      <family val="3"/>
    </font>
    <font>
      <b/>
      <u/>
      <sz val="12"/>
      <color indexed="8"/>
      <name val="ＭＳ Ｐゴシック"/>
      <family val="3"/>
    </font>
    <font>
      <b/>
      <sz val="12"/>
      <color indexed="8"/>
      <name val="ＭＳ Ｐゴシック"/>
      <family val="3"/>
    </font>
    <font>
      <b/>
      <u/>
      <sz val="11"/>
      <color indexed="8"/>
      <name val="ＭＳ Ｐゴシック"/>
      <family val="3"/>
    </font>
    <font>
      <u/>
      <sz val="11"/>
      <color indexed="8"/>
      <name val="ＭＳ Ｐゴシック"/>
      <family val="3"/>
    </font>
    <font>
      <b/>
      <sz val="14"/>
      <color theme="1"/>
      <name val="ＭＳ 明朝"/>
      <family val="1"/>
    </font>
    <font>
      <sz val="14"/>
      <color theme="1"/>
      <name val="ＭＳ Ｐゴシック"/>
      <family val="3"/>
      <scheme val="minor"/>
    </font>
    <font>
      <sz val="9"/>
      <color theme="1"/>
      <name val="ＭＳ Ｐゴシック"/>
      <family val="3"/>
      <scheme val="minor"/>
    </font>
    <font>
      <b/>
      <i/>
      <sz val="9"/>
      <color theme="1"/>
      <name val="ＭＳ Ｐゴシック"/>
      <family val="3"/>
      <scheme val="minor"/>
    </font>
    <font>
      <b/>
      <sz val="9"/>
      <color indexed="81"/>
      <name val="MS P ゴシック"/>
      <family val="3"/>
    </font>
    <font>
      <sz val="11"/>
      <color auto="1"/>
      <name val="ＭＳ Ｐゴシック"/>
      <family val="3"/>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indexed="43"/>
        <bgColor indexed="64"/>
      </patternFill>
    </fill>
    <fill>
      <patternFill patternType="solid">
        <fgColor theme="0" tint="-0.25"/>
        <bgColor indexed="64"/>
      </patternFill>
    </fill>
    <fill>
      <patternFill patternType="solid">
        <fgColor rgb="FFFFFF00"/>
        <bgColor indexed="64"/>
      </patternFill>
    </fill>
    <fill>
      <patternFill patternType="solid">
        <fgColor theme="8" tint="0.8"/>
        <bgColor indexed="64"/>
      </patternFill>
    </fill>
    <fill>
      <patternFill patternType="solid">
        <fgColor indexed="13"/>
        <bgColor indexed="64"/>
      </patternFill>
    </fill>
    <fill>
      <patternFill patternType="solid">
        <fgColor indexed="42"/>
        <bgColor indexed="64"/>
      </patternFill>
    </fill>
    <fill>
      <patternFill patternType="solid">
        <fgColor indexed="9"/>
        <bgColor indexed="64"/>
      </patternFill>
    </fill>
  </fills>
  <borders count="2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ck">
        <color auto="1"/>
      </left>
      <right/>
      <top/>
      <bottom/>
      <diagonal/>
    </border>
    <border>
      <left style="thick">
        <color auto="1"/>
      </left>
      <right/>
      <top/>
      <bottom style="medium">
        <color rgb="FFFF0000"/>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rgb="FFFF0000"/>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diagonal/>
    </border>
    <border diagonalDown="1">
      <left style="double">
        <color indexed="64"/>
      </left>
      <right style="thin">
        <color indexed="64"/>
      </right>
      <top style="double">
        <color indexed="64"/>
      </top>
      <bottom style="hair">
        <color indexed="64"/>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style="hair">
        <color indexed="64"/>
      </top>
      <bottom style="thin">
        <color indexed="64"/>
      </bottom>
      <diagonal style="thin">
        <color indexed="64"/>
      </diagonal>
    </border>
    <border>
      <left style="double">
        <color indexed="64"/>
      </left>
      <right style="thin">
        <color indexed="64"/>
      </right>
      <top style="thin">
        <color indexed="64"/>
      </top>
      <bottom style="double">
        <color indexed="64"/>
      </bottom>
      <diagonal/>
    </border>
    <border>
      <left style="thin">
        <color indexed="64"/>
      </left>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diagonal/>
    </border>
    <border>
      <left style="double">
        <color indexed="64"/>
      </left>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double">
        <color indexed="64"/>
      </right>
      <top style="double">
        <color indexed="64"/>
      </top>
      <bottom/>
      <diagonal/>
    </border>
    <border>
      <left/>
      <right style="double">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double">
        <color indexed="64"/>
      </bottom>
      <diagonal/>
    </border>
    <border>
      <left/>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double">
        <color indexed="64"/>
      </left>
      <right style="thin">
        <color indexed="64"/>
      </right>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left/>
      <right/>
      <top style="double">
        <color indexed="64"/>
      </top>
      <bottom style="hair">
        <color indexed="64"/>
      </bottom>
      <diagonal/>
    </border>
    <border diagonalUp="1">
      <left/>
      <right/>
      <top style="thin">
        <color indexed="64"/>
      </top>
      <bottom style="medium">
        <color indexed="64"/>
      </bottom>
      <diagonal style="thin">
        <color indexed="64"/>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bottom style="double">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diagonalUp="1">
      <left/>
      <right style="thin">
        <color indexed="64"/>
      </right>
      <top style="thin">
        <color indexed="64"/>
      </top>
      <bottom/>
      <diagonal style="thin">
        <color indexed="64"/>
      </diagonal>
    </border>
    <border>
      <left style="hair">
        <color indexed="64"/>
      </left>
      <right/>
      <top style="hair">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bottom style="hair">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medium">
        <color indexed="14"/>
      </left>
      <right style="thin">
        <color indexed="64"/>
      </right>
      <top style="medium">
        <color indexed="14"/>
      </top>
      <bottom style="thin">
        <color indexed="64"/>
      </bottom>
      <diagonal/>
    </border>
    <border>
      <left style="medium">
        <color indexed="14"/>
      </left>
      <right style="thin">
        <color indexed="64"/>
      </right>
      <top style="thin">
        <color indexed="64"/>
      </top>
      <bottom/>
      <diagonal/>
    </border>
    <border>
      <left style="medium">
        <color indexed="14"/>
      </left>
      <right style="thin">
        <color indexed="64"/>
      </right>
      <top/>
      <bottom style="medium">
        <color indexed="14"/>
      </bottom>
      <diagonal/>
    </border>
    <border>
      <left style="thin">
        <color indexed="64"/>
      </left>
      <right style="thin">
        <color indexed="64"/>
      </right>
      <top style="medium">
        <color indexed="14"/>
      </top>
      <bottom style="thin">
        <color indexed="64"/>
      </bottom>
      <diagonal/>
    </border>
    <border>
      <left style="thin">
        <color indexed="64"/>
      </left>
      <right/>
      <top/>
      <bottom style="medium">
        <color indexed="14"/>
      </bottom>
      <diagonal/>
    </border>
    <border>
      <left style="thin">
        <color indexed="64"/>
      </left>
      <right/>
      <top style="medium">
        <color indexed="14"/>
      </top>
      <bottom style="thin">
        <color indexed="64"/>
      </bottom>
      <diagonal/>
    </border>
    <border>
      <left/>
      <right/>
      <top/>
      <bottom style="medium">
        <color indexed="14"/>
      </bottom>
      <diagonal/>
    </border>
    <border>
      <left/>
      <right style="medium">
        <color indexed="14"/>
      </right>
      <top style="medium">
        <color indexed="14"/>
      </top>
      <bottom style="thin">
        <color indexed="64"/>
      </bottom>
      <diagonal/>
    </border>
    <border>
      <left/>
      <right style="medium">
        <color indexed="14"/>
      </right>
      <top/>
      <bottom/>
      <diagonal/>
    </border>
    <border>
      <left/>
      <right style="medium">
        <color indexed="14"/>
      </right>
      <top/>
      <bottom style="medium">
        <color indexed="1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2">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2" fillId="0" borderId="0"/>
    <xf numFmtId="0" fontId="1" fillId="0" borderId="0">
      <alignment vertical="center"/>
    </xf>
    <xf numFmtId="0" fontId="3" fillId="0" borderId="0"/>
    <xf numFmtId="0" fontId="4" fillId="0" borderId="0">
      <alignment vertical="center"/>
    </xf>
    <xf numFmtId="38" fontId="3" fillId="0" borderId="0" applyFont="0" applyFill="0" applyBorder="0" applyAlignment="0" applyProtection="0"/>
  </cellStyleXfs>
  <cellXfs count="1184">
    <xf numFmtId="0" fontId="0" fillId="0" borderId="0" xfId="0"/>
    <xf numFmtId="0" fontId="6" fillId="0" borderId="0" xfId="0" applyFont="1"/>
    <xf numFmtId="0" fontId="7" fillId="0" borderId="0" xfId="0" applyFont="1"/>
    <xf numFmtId="0" fontId="6" fillId="0" borderId="0" xfId="0" applyFont="1" applyAlignment="1">
      <alignment wrapText="1"/>
    </xf>
    <xf numFmtId="0" fontId="6" fillId="0" borderId="0" xfId="0" applyFont="1" applyAlignment="1">
      <alignment vertical="center"/>
    </xf>
    <xf numFmtId="0" fontId="6" fillId="0" borderId="0" xfId="0" applyFont="1" applyAlignment="1">
      <alignment vertical="justify"/>
    </xf>
    <xf numFmtId="0" fontId="8" fillId="0" borderId="0" xfId="0" applyFont="1" applyFill="1"/>
    <xf numFmtId="0" fontId="7" fillId="0" borderId="0" xfId="0" applyFont="1" applyFill="1" applyAlignment="1">
      <alignment vertical="center"/>
    </xf>
    <xf numFmtId="0" fontId="7" fillId="0" borderId="0" xfId="0" applyFont="1" applyFill="1" applyAlignment="1">
      <alignment vertical="justify"/>
    </xf>
    <xf numFmtId="0" fontId="8" fillId="0" borderId="0" xfId="0" applyFont="1" applyFill="1" applyAlignment="1">
      <alignment horizontal="left" vertical="center"/>
    </xf>
    <xf numFmtId="0" fontId="9" fillId="0" borderId="0" xfId="0" applyFont="1" applyFill="1" applyAlignment="1">
      <alignment wrapText="1"/>
    </xf>
    <xf numFmtId="0" fontId="10" fillId="0" borderId="0" xfId="0" applyFont="1" applyFill="1" applyAlignment="1">
      <alignment wrapText="1"/>
    </xf>
    <xf numFmtId="0" fontId="6" fillId="0" borderId="0" xfId="0" applyFont="1" applyFill="1" applyAlignment="1">
      <alignment vertical="center" wrapText="1"/>
    </xf>
    <xf numFmtId="0" fontId="7" fillId="0" borderId="0" xfId="0" applyFont="1" applyFill="1" applyAlignment="1">
      <alignment vertical="center" wrapText="1"/>
    </xf>
    <xf numFmtId="0" fontId="6" fillId="0" borderId="0" xfId="0" applyFont="1" applyFill="1" applyAlignment="1">
      <alignment vertical="justify" wrapText="1"/>
    </xf>
    <xf numFmtId="0" fontId="7" fillId="0" borderId="0" xfId="0" applyFont="1" applyFill="1" applyAlignment="1">
      <alignment wrapText="1"/>
    </xf>
    <xf numFmtId="0" fontId="6" fillId="0" borderId="0" xfId="0" applyFont="1" applyFill="1" applyAlignment="1">
      <alignment shrinkToFit="1"/>
    </xf>
    <xf numFmtId="0" fontId="11" fillId="0" borderId="0" xfId="0" applyFont="1" applyFill="1" applyAlignment="1">
      <alignment shrinkToFit="1"/>
    </xf>
    <xf numFmtId="0" fontId="10" fillId="0" borderId="0" xfId="0" applyFont="1" applyFill="1" applyAlignment="1">
      <alignment horizontal="left" wrapText="1"/>
    </xf>
    <xf numFmtId="0" fontId="12" fillId="0" borderId="0" xfId="0" applyFont="1" applyFill="1" applyAlignment="1">
      <alignment vertical="center" wrapText="1"/>
    </xf>
    <xf numFmtId="0" fontId="10" fillId="0" borderId="0" xfId="0" applyFont="1" applyFill="1" applyAlignment="1">
      <alignment shrinkToFit="1"/>
    </xf>
    <xf numFmtId="0" fontId="13" fillId="0" borderId="0" xfId="4" applyFont="1" applyAlignment="1">
      <alignment vertical="center"/>
    </xf>
    <xf numFmtId="0" fontId="13" fillId="0" borderId="0" xfId="4" applyFont="1" applyAlignment="1">
      <alignment vertical="center" shrinkToFit="1"/>
    </xf>
    <xf numFmtId="0" fontId="1" fillId="0" borderId="0" xfId="4" applyAlignment="1">
      <alignment vertical="center"/>
    </xf>
    <xf numFmtId="0" fontId="14" fillId="0" borderId="0" xfId="4" applyFont="1" applyAlignment="1">
      <alignment horizontal="center" vertical="center"/>
    </xf>
    <xf numFmtId="0" fontId="15" fillId="0" borderId="0" xfId="0" applyFont="1" applyAlignment="1">
      <alignment vertical="center"/>
    </xf>
    <xf numFmtId="0" fontId="16"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2" xfId="4" applyFont="1" applyFill="1" applyBorder="1" applyAlignment="1">
      <alignment horizontal="center" vertical="center" wrapText="1"/>
    </xf>
    <xf numFmtId="0" fontId="17" fillId="0" borderId="5" xfId="4" applyFont="1" applyFill="1" applyBorder="1" applyAlignment="1">
      <alignment horizontal="center" vertical="center"/>
    </xf>
    <xf numFmtId="0" fontId="18" fillId="0" borderId="0" xfId="4" applyFont="1" applyBorder="1" applyAlignment="1">
      <alignment horizontal="center" vertical="center"/>
    </xf>
    <xf numFmtId="0" fontId="17" fillId="0" borderId="2" xfId="4" applyFont="1" applyFill="1" applyBorder="1" applyAlignment="1">
      <alignment horizontal="left" vertical="center"/>
    </xf>
    <xf numFmtId="0" fontId="19" fillId="0" borderId="2" xfId="4" applyFont="1" applyFill="1" applyBorder="1" applyAlignment="1">
      <alignment horizontal="left" vertical="center"/>
    </xf>
    <xf numFmtId="0" fontId="17" fillId="0" borderId="2" xfId="4" applyFont="1" applyBorder="1" applyAlignment="1">
      <alignment vertical="center"/>
    </xf>
    <xf numFmtId="0" fontId="13" fillId="0" borderId="0" xfId="4" applyFont="1" applyBorder="1" applyAlignment="1">
      <alignment horizontal="center" vertical="center"/>
    </xf>
    <xf numFmtId="0" fontId="16" fillId="0" borderId="2" xfId="4" applyFont="1" applyFill="1" applyBorder="1" applyAlignment="1">
      <alignment horizontal="center" vertical="center" shrinkToFit="1"/>
    </xf>
    <xf numFmtId="0" fontId="17" fillId="0" borderId="2" xfId="4" applyFont="1" applyFill="1" applyBorder="1" applyAlignment="1">
      <alignment vertical="center" shrinkToFit="1"/>
    </xf>
    <xf numFmtId="0" fontId="17" fillId="0" borderId="2" xfId="4" applyFont="1" applyFill="1" applyBorder="1" applyAlignment="1">
      <alignment vertical="center" wrapText="1"/>
    </xf>
    <xf numFmtId="0" fontId="6" fillId="0" borderId="2" xfId="4" applyFont="1" applyFill="1" applyBorder="1" applyAlignment="1">
      <alignment vertical="center" wrapText="1"/>
    </xf>
    <xf numFmtId="0" fontId="0" fillId="0" borderId="0" xfId="0" applyAlignment="1">
      <alignment horizontal="center"/>
    </xf>
    <xf numFmtId="0" fontId="20" fillId="0" borderId="6" xfId="0" applyFont="1" applyBorder="1" applyAlignment="1">
      <alignment horizontal="center" vertical="center"/>
    </xf>
    <xf numFmtId="0" fontId="21" fillId="0" borderId="7" xfId="0" applyFont="1" applyBorder="1" applyAlignment="1">
      <alignment horizontal="center" vertical="center" wrapText="1"/>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0" fillId="0" borderId="7" xfId="0"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0" fillId="0" borderId="0" xfId="0" applyFont="1"/>
    <xf numFmtId="38" fontId="0" fillId="0" borderId="0" xfId="11" applyFont="1"/>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shrinkToFit="1"/>
    </xf>
    <xf numFmtId="0" fontId="0" fillId="2" borderId="0" xfId="0" applyFont="1" applyFill="1"/>
    <xf numFmtId="0" fontId="0" fillId="2" borderId="0" xfId="0" applyFont="1" applyFill="1" applyAlignment="1">
      <alignment vertical="center"/>
    </xf>
    <xf numFmtId="0" fontId="0" fillId="2" borderId="0" xfId="0" applyFont="1" applyFill="1" applyAlignment="1">
      <alignment horizontal="center" vertical="center" wrapText="1"/>
    </xf>
    <xf numFmtId="0" fontId="0" fillId="2" borderId="0" xfId="0" applyFont="1" applyFill="1" applyAlignment="1">
      <alignment shrinkToFit="1"/>
    </xf>
    <xf numFmtId="0" fontId="22" fillId="2" borderId="0" xfId="0" applyFont="1" applyFill="1"/>
    <xf numFmtId="0" fontId="23" fillId="3" borderId="8" xfId="0" applyFont="1" applyFill="1" applyBorder="1" applyAlignment="1">
      <alignment vertical="center" wrapText="1"/>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5" fillId="0" borderId="11" xfId="0" applyFont="1" applyBorder="1" applyAlignment="1" applyProtection="1">
      <alignment shrinkToFit="1"/>
      <protection locked="0"/>
    </xf>
    <xf numFmtId="0" fontId="25" fillId="0" borderId="12" xfId="0" applyFont="1" applyBorder="1" applyAlignment="1" applyProtection="1">
      <alignment shrinkToFit="1"/>
      <protection locked="0"/>
    </xf>
    <xf numFmtId="0" fontId="0" fillId="0" borderId="12" xfId="0" applyFont="1" applyBorder="1" applyAlignment="1" applyProtection="1">
      <alignment shrinkToFit="1"/>
      <protection locked="0"/>
    </xf>
    <xf numFmtId="0" fontId="0" fillId="0" borderId="13" xfId="0" applyFont="1" applyBorder="1" applyAlignment="1" applyProtection="1">
      <alignment shrinkToFit="1"/>
      <protection locked="0"/>
    </xf>
    <xf numFmtId="0" fontId="0" fillId="3" borderId="14" xfId="0" applyFont="1" applyFill="1" applyBorder="1" applyAlignment="1">
      <alignment horizontal="center" shrinkToFit="1"/>
    </xf>
    <xf numFmtId="0" fontId="26" fillId="0" borderId="1" xfId="0"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Alignment="1">
      <alignment horizontal="left" vertical="center"/>
    </xf>
    <xf numFmtId="0" fontId="22" fillId="2" borderId="0" xfId="0" applyFont="1" applyFill="1" applyAlignment="1">
      <alignment vertical="center"/>
    </xf>
    <xf numFmtId="0" fontId="23" fillId="3" borderId="15" xfId="0" applyFont="1" applyFill="1" applyBorder="1" applyAlignment="1">
      <alignment vertical="center" wrapText="1"/>
    </xf>
    <xf numFmtId="0" fontId="24" fillId="3" borderId="16"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0" fillId="3" borderId="18" xfId="0" applyFont="1" applyFill="1" applyBorder="1" applyAlignment="1">
      <alignment shrinkToFit="1"/>
    </xf>
    <xf numFmtId="0" fontId="0" fillId="3" borderId="19" xfId="0" applyFont="1" applyFill="1" applyBorder="1" applyAlignment="1">
      <alignment shrinkToFit="1"/>
    </xf>
    <xf numFmtId="0" fontId="0" fillId="4" borderId="19" xfId="0" applyFont="1" applyFill="1" applyBorder="1" applyAlignment="1">
      <alignment shrinkToFit="1"/>
    </xf>
    <xf numFmtId="0" fontId="0" fillId="3" borderId="19" xfId="0" applyFont="1" applyFill="1" applyBorder="1"/>
    <xf numFmtId="0" fontId="0" fillId="3" borderId="20" xfId="0" applyFont="1" applyFill="1" applyBorder="1"/>
    <xf numFmtId="0" fontId="0" fillId="3" borderId="21" xfId="0" applyFont="1" applyFill="1" applyBorder="1" applyAlignment="1">
      <alignment horizontal="center" shrinkToFit="1"/>
    </xf>
    <xf numFmtId="0" fontId="26" fillId="0" borderId="22" xfId="0" applyFont="1" applyFill="1" applyBorder="1" applyAlignment="1">
      <alignment horizontal="center" vertical="center"/>
    </xf>
    <xf numFmtId="0" fontId="27" fillId="5" borderId="0" xfId="0" applyFont="1" applyFill="1" applyAlignment="1">
      <alignment vertical="center"/>
    </xf>
    <xf numFmtId="0" fontId="0" fillId="5" borderId="9" xfId="0" applyFont="1" applyFill="1" applyBorder="1" applyAlignment="1">
      <alignment vertical="center"/>
    </xf>
    <xf numFmtId="0" fontId="0" fillId="5" borderId="12" xfId="0" applyFont="1" applyFill="1" applyBorder="1" applyAlignment="1">
      <alignment vertical="center"/>
    </xf>
    <xf numFmtId="0" fontId="0" fillId="5" borderId="23" xfId="0" applyFont="1" applyFill="1" applyBorder="1" applyAlignment="1">
      <alignment vertical="center"/>
    </xf>
    <xf numFmtId="0" fontId="0" fillId="5" borderId="14" xfId="0" applyFont="1" applyFill="1" applyBorder="1" applyAlignment="1">
      <alignment vertical="center"/>
    </xf>
    <xf numFmtId="0" fontId="0" fillId="5" borderId="8" xfId="0" applyFont="1" applyFill="1" applyBorder="1" applyAlignment="1">
      <alignment vertical="center"/>
    </xf>
    <xf numFmtId="0" fontId="27" fillId="5" borderId="0" xfId="0" applyFont="1" applyFill="1" applyAlignment="1">
      <alignment horizontal="left" vertical="center"/>
    </xf>
    <xf numFmtId="0" fontId="0" fillId="5" borderId="24" xfId="0" applyFont="1" applyFill="1" applyBorder="1" applyAlignment="1">
      <alignment vertical="center"/>
    </xf>
    <xf numFmtId="0" fontId="0" fillId="5" borderId="13" xfId="0" applyFont="1" applyFill="1" applyBorder="1" applyAlignment="1">
      <alignment vertical="center"/>
    </xf>
    <xf numFmtId="0" fontId="22" fillId="2" borderId="0" xfId="0" applyFont="1" applyFill="1" applyBorder="1" applyAlignment="1">
      <alignment vertical="center"/>
    </xf>
    <xf numFmtId="0" fontId="28" fillId="3" borderId="25" xfId="0" applyFont="1" applyFill="1" applyBorder="1" applyAlignment="1">
      <alignment horizontal="left"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9" fillId="0" borderId="28" xfId="0" quotePrefix="1" applyFont="1" applyBorder="1" applyProtection="1">
      <protection locked="0"/>
    </xf>
    <xf numFmtId="0" fontId="29" fillId="0" borderId="29" xfId="0" applyFont="1" applyBorder="1" applyProtection="1">
      <protection locked="0"/>
    </xf>
    <xf numFmtId="0" fontId="29" fillId="0" borderId="29" xfId="0" applyFont="1" applyBorder="1" applyAlignment="1" applyProtection="1">
      <alignment shrinkToFit="1"/>
      <protection locked="0"/>
    </xf>
    <xf numFmtId="0" fontId="0" fillId="0" borderId="29" xfId="0" applyFont="1" applyBorder="1" applyAlignment="1" applyProtection="1">
      <alignment shrinkToFit="1"/>
      <protection locked="0"/>
    </xf>
    <xf numFmtId="0" fontId="0" fillId="0" borderId="29" xfId="0" applyFont="1" applyBorder="1" applyProtection="1">
      <protection locked="0"/>
    </xf>
    <xf numFmtId="0" fontId="0" fillId="0" borderId="30" xfId="0" applyFont="1" applyBorder="1" applyProtection="1">
      <protection locked="0"/>
    </xf>
    <xf numFmtId="0" fontId="0" fillId="3" borderId="21" xfId="0" applyFont="1" applyFill="1" applyBorder="1" applyAlignment="1">
      <alignment shrinkToFit="1"/>
    </xf>
    <xf numFmtId="0" fontId="26" fillId="2" borderId="0" xfId="0" applyFont="1" applyFill="1" applyAlignment="1">
      <alignment vertical="center"/>
    </xf>
    <xf numFmtId="0" fontId="0" fillId="5" borderId="31" xfId="0" applyFont="1" applyFill="1" applyBorder="1" applyAlignment="1">
      <alignment vertical="center"/>
    </xf>
    <xf numFmtId="0" fontId="0" fillId="5" borderId="0" xfId="0" applyFont="1" applyFill="1" applyAlignment="1">
      <alignment vertical="center"/>
    </xf>
    <xf numFmtId="0" fontId="0" fillId="5" borderId="29" xfId="0" applyFont="1" applyFill="1" applyBorder="1" applyAlignment="1">
      <alignment vertical="center"/>
    </xf>
    <xf numFmtId="0" fontId="0" fillId="5" borderId="6" xfId="0" applyFont="1" applyFill="1" applyBorder="1" applyAlignment="1">
      <alignment vertical="center"/>
    </xf>
    <xf numFmtId="0" fontId="0" fillId="5" borderId="21" xfId="0" applyFont="1" applyFill="1" applyBorder="1" applyAlignment="1">
      <alignment vertical="center"/>
    </xf>
    <xf numFmtId="0" fontId="0" fillId="5" borderId="0" xfId="0" applyFont="1" applyFill="1" applyBorder="1" applyAlignment="1">
      <alignment vertical="center"/>
    </xf>
    <xf numFmtId="0" fontId="0" fillId="5" borderId="32" xfId="0" applyFont="1" applyFill="1" applyBorder="1" applyAlignment="1">
      <alignment vertical="center"/>
    </xf>
    <xf numFmtId="0" fontId="0" fillId="5" borderId="33" xfId="0" applyFont="1" applyFill="1" applyBorder="1" applyAlignment="1">
      <alignment vertical="center"/>
    </xf>
    <xf numFmtId="0" fontId="0" fillId="5" borderId="30" xfId="0" applyFont="1" applyFill="1" applyBorder="1" applyAlignment="1">
      <alignment vertical="center"/>
    </xf>
    <xf numFmtId="0" fontId="28" fillId="3" borderId="34" xfId="0" applyFont="1" applyFill="1" applyBorder="1" applyAlignment="1">
      <alignment horizontal="left" vertical="center" wrapText="1"/>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0" fillId="0" borderId="37" xfId="0" applyFont="1" applyBorder="1" applyAlignment="1" applyProtection="1">
      <alignment shrinkToFit="1"/>
      <protection locked="0"/>
    </xf>
    <xf numFmtId="0" fontId="0" fillId="0" borderId="38" xfId="0" applyFont="1" applyBorder="1" applyAlignment="1" applyProtection="1">
      <alignment shrinkToFit="1"/>
      <protection locked="0"/>
    </xf>
    <xf numFmtId="0" fontId="0" fillId="0" borderId="38" xfId="0" applyFont="1" applyBorder="1" applyProtection="1">
      <protection locked="0"/>
    </xf>
    <xf numFmtId="0" fontId="0" fillId="0" borderId="39" xfId="0" applyFont="1" applyBorder="1" applyProtection="1">
      <protection locked="0"/>
    </xf>
    <xf numFmtId="38" fontId="0" fillId="3" borderId="40" xfId="11" applyFont="1" applyFill="1" applyBorder="1" applyAlignment="1">
      <alignment shrinkToFit="1"/>
    </xf>
    <xf numFmtId="38" fontId="0" fillId="2" borderId="0" xfId="11" applyFont="1" applyFill="1"/>
    <xf numFmtId="38" fontId="27" fillId="2" borderId="0" xfId="11" applyFont="1" applyFill="1"/>
    <xf numFmtId="38" fontId="0" fillId="2" borderId="0" xfId="11" applyFont="1" applyFill="1" applyAlignment="1">
      <alignment vertical="center"/>
    </xf>
    <xf numFmtId="38" fontId="30" fillId="0" borderId="41" xfId="11" applyFont="1" applyFill="1" applyBorder="1" applyAlignment="1" applyProtection="1">
      <alignment vertical="center"/>
      <protection locked="0"/>
    </xf>
    <xf numFmtId="38" fontId="30" fillId="0" borderId="42" xfId="11" applyFont="1" applyFill="1" applyBorder="1" applyAlignment="1" applyProtection="1">
      <alignment vertical="center"/>
      <protection locked="0"/>
    </xf>
    <xf numFmtId="38" fontId="30" fillId="0" borderId="43" xfId="11" applyFont="1" applyFill="1" applyBorder="1" applyAlignment="1" applyProtection="1">
      <alignment vertical="center"/>
      <protection locked="0"/>
    </xf>
    <xf numFmtId="38" fontId="0" fillId="5" borderId="44" xfId="11" applyFont="1" applyFill="1" applyBorder="1" applyAlignment="1">
      <alignment vertical="center"/>
    </xf>
    <xf numFmtId="38" fontId="0" fillId="2" borderId="0" xfId="11" applyFont="1" applyFill="1" applyBorder="1" applyAlignment="1">
      <alignment vertical="center"/>
    </xf>
    <xf numFmtId="38" fontId="0" fillId="5" borderId="25" xfId="11" applyFont="1" applyFill="1" applyBorder="1" applyAlignment="1">
      <alignment vertical="center"/>
    </xf>
    <xf numFmtId="38" fontId="0" fillId="5" borderId="41" xfId="11" applyFont="1" applyFill="1" applyBorder="1" applyAlignment="1">
      <alignment vertical="center"/>
    </xf>
    <xf numFmtId="38" fontId="0" fillId="5" borderId="43" xfId="11" applyFont="1" applyFill="1" applyBorder="1" applyAlignment="1">
      <alignment vertical="center"/>
    </xf>
    <xf numFmtId="38" fontId="22" fillId="2" borderId="0" xfId="11" applyFont="1" applyFill="1" applyBorder="1" applyAlignment="1">
      <alignment vertical="center"/>
    </xf>
    <xf numFmtId="38" fontId="28" fillId="3" borderId="8" xfId="11" applyFont="1" applyFill="1" applyBorder="1" applyAlignment="1">
      <alignment horizontal="left" vertical="center" wrapText="1"/>
    </xf>
    <xf numFmtId="38" fontId="24" fillId="3" borderId="45" xfId="11" applyFont="1" applyFill="1" applyBorder="1" applyAlignment="1">
      <alignment horizontal="center" vertical="center" wrapText="1"/>
    </xf>
    <xf numFmtId="38" fontId="25" fillId="0" borderId="46" xfId="11" applyFont="1" applyBorder="1" applyProtection="1">
      <protection locked="0"/>
    </xf>
    <xf numFmtId="38" fontId="25" fillId="0" borderId="47" xfId="11" applyFont="1" applyBorder="1" applyProtection="1">
      <protection locked="0"/>
    </xf>
    <xf numFmtId="38" fontId="25" fillId="0" borderId="47" xfId="11" applyFont="1" applyBorder="1" applyAlignment="1" applyProtection="1">
      <alignment shrinkToFit="1"/>
      <protection locked="0"/>
    </xf>
    <xf numFmtId="38" fontId="0" fillId="0" borderId="47" xfId="11" applyFont="1" applyBorder="1" applyAlignment="1" applyProtection="1">
      <alignment shrinkToFit="1"/>
      <protection locked="0"/>
    </xf>
    <xf numFmtId="38" fontId="0" fillId="0" borderId="47" xfId="11" applyFont="1" applyBorder="1" applyProtection="1">
      <protection locked="0"/>
    </xf>
    <xf numFmtId="38" fontId="0" fillId="0" borderId="48" xfId="11" applyFont="1" applyBorder="1" applyProtection="1">
      <protection locked="0"/>
    </xf>
    <xf numFmtId="38" fontId="0" fillId="3" borderId="49" xfId="11" applyFont="1" applyFill="1" applyBorder="1" applyAlignment="1">
      <alignment shrinkToFit="1"/>
    </xf>
    <xf numFmtId="0" fontId="31" fillId="5" borderId="31" xfId="0" applyFont="1" applyFill="1" applyBorder="1" applyAlignment="1">
      <alignment vertical="center"/>
    </xf>
    <xf numFmtId="0" fontId="31" fillId="5" borderId="29" xfId="0" applyFont="1" applyFill="1" applyBorder="1" applyAlignment="1">
      <alignment vertical="center"/>
    </xf>
    <xf numFmtId="0" fontId="31" fillId="5" borderId="6" xfId="0" applyFont="1" applyFill="1" applyBorder="1" applyAlignment="1">
      <alignment vertical="center"/>
    </xf>
    <xf numFmtId="38" fontId="32" fillId="5" borderId="21" xfId="11" applyFont="1" applyFill="1" applyBorder="1" applyAlignment="1">
      <alignment vertical="center"/>
    </xf>
    <xf numFmtId="38" fontId="32" fillId="5" borderId="32" xfId="11" applyFont="1" applyFill="1" applyBorder="1" applyAlignment="1">
      <alignment vertical="center"/>
    </xf>
    <xf numFmtId="0" fontId="32" fillId="5" borderId="50" xfId="0" applyFont="1" applyFill="1" applyBorder="1" applyAlignment="1">
      <alignment vertical="center"/>
    </xf>
    <xf numFmtId="0" fontId="32" fillId="5" borderId="39" xfId="0" applyFont="1" applyFill="1" applyBorder="1" applyAlignment="1">
      <alignment vertical="center"/>
    </xf>
    <xf numFmtId="0" fontId="32" fillId="5" borderId="40" xfId="0" applyFont="1" applyFill="1" applyBorder="1" applyAlignment="1">
      <alignment vertical="center"/>
    </xf>
    <xf numFmtId="0" fontId="33" fillId="2" borderId="0" xfId="0" applyFont="1" applyFill="1" applyBorder="1" applyAlignment="1">
      <alignment vertical="center"/>
    </xf>
    <xf numFmtId="38" fontId="28" fillId="3" borderId="32" xfId="11" applyFont="1" applyFill="1" applyBorder="1" applyAlignment="1">
      <alignment horizontal="left" vertical="center" wrapText="1"/>
    </xf>
    <xf numFmtId="38" fontId="24" fillId="3" borderId="10" xfId="11" applyFont="1" applyFill="1" applyBorder="1" applyAlignment="1">
      <alignment horizontal="center" vertical="center" wrapText="1"/>
    </xf>
    <xf numFmtId="38" fontId="24" fillId="3" borderId="51" xfId="11" applyFont="1" applyFill="1" applyBorder="1" applyAlignment="1">
      <alignment horizontal="center" vertical="center" wrapText="1"/>
    </xf>
    <xf numFmtId="38" fontId="25" fillId="0" borderId="52" xfId="11" applyFont="1" applyBorder="1" applyAlignment="1" applyProtection="1">
      <alignment shrinkToFit="1"/>
      <protection locked="0"/>
    </xf>
    <xf numFmtId="38" fontId="25" fillId="0" borderId="53" xfId="11" applyFont="1" applyBorder="1" applyAlignment="1" applyProtection="1">
      <alignment shrinkToFit="1"/>
      <protection locked="0"/>
    </xf>
    <xf numFmtId="38" fontId="0" fillId="0" borderId="53" xfId="11" applyFont="1" applyBorder="1" applyAlignment="1" applyProtection="1">
      <alignment shrinkToFit="1"/>
      <protection locked="0"/>
    </xf>
    <xf numFmtId="38" fontId="0" fillId="0" borderId="12" xfId="11" applyFont="1" applyFill="1" applyBorder="1" applyAlignment="1" applyProtection="1">
      <alignment shrinkToFit="1"/>
      <protection locked="0"/>
    </xf>
    <xf numFmtId="38" fontId="0" fillId="0" borderId="53" xfId="11" applyFont="1" applyBorder="1" applyProtection="1">
      <protection locked="0"/>
    </xf>
    <xf numFmtId="38" fontId="0" fillId="0" borderId="54" xfId="11" applyFont="1" applyBorder="1" applyProtection="1">
      <protection locked="0"/>
    </xf>
    <xf numFmtId="38" fontId="0" fillId="3" borderId="55" xfId="11" applyFont="1" applyFill="1" applyBorder="1" applyAlignment="1">
      <alignment shrinkToFit="1"/>
    </xf>
    <xf numFmtId="38" fontId="0" fillId="5" borderId="56" xfId="11" applyFont="1" applyFill="1" applyBorder="1" applyAlignment="1">
      <alignment horizontal="right" vertical="center"/>
    </xf>
    <xf numFmtId="38" fontId="0" fillId="5" borderId="57" xfId="11" applyFont="1" applyFill="1" applyBorder="1"/>
    <xf numFmtId="38" fontId="0" fillId="5" borderId="10" xfId="11" applyFont="1" applyFill="1" applyBorder="1" applyAlignment="1">
      <alignment vertical="center"/>
    </xf>
    <xf numFmtId="38" fontId="29" fillId="0" borderId="32" xfId="11" applyFont="1" applyFill="1" applyBorder="1" applyAlignment="1" applyProtection="1">
      <alignment vertical="center"/>
      <protection locked="0"/>
    </xf>
    <xf numFmtId="38" fontId="22" fillId="2" borderId="0" xfId="11" applyFont="1" applyFill="1" applyAlignment="1">
      <alignment vertical="center"/>
    </xf>
    <xf numFmtId="38" fontId="28" fillId="3" borderId="34" xfId="11" applyFont="1" applyFill="1" applyBorder="1" applyAlignment="1">
      <alignment horizontal="left" vertical="center" wrapText="1"/>
    </xf>
    <xf numFmtId="38" fontId="24" fillId="3" borderId="36" xfId="11" applyFont="1" applyFill="1" applyBorder="1" applyAlignment="1">
      <alignment horizontal="center" vertical="center" wrapText="1"/>
    </xf>
    <xf numFmtId="38" fontId="34" fillId="3" borderId="58" xfId="11" applyFont="1" applyFill="1" applyBorder="1" applyAlignment="1">
      <alignment horizontal="center" vertical="center" wrapText="1"/>
    </xf>
    <xf numFmtId="38" fontId="25" fillId="0" borderId="59" xfId="11" applyFont="1" applyBorder="1" applyAlignment="1" applyProtection="1">
      <alignment shrinkToFit="1"/>
      <protection locked="0"/>
    </xf>
    <xf numFmtId="38" fontId="25" fillId="0" borderId="60" xfId="11" applyFont="1" applyBorder="1" applyAlignment="1" applyProtection="1">
      <alignment shrinkToFit="1"/>
      <protection locked="0"/>
    </xf>
    <xf numFmtId="38" fontId="0" fillId="0" borderId="60" xfId="11" applyFont="1" applyBorder="1" applyAlignment="1" applyProtection="1">
      <alignment shrinkToFit="1"/>
      <protection locked="0"/>
    </xf>
    <xf numFmtId="38" fontId="0" fillId="0" borderId="60" xfId="11" applyFont="1" applyBorder="1" applyProtection="1">
      <protection locked="0"/>
    </xf>
    <xf numFmtId="38" fontId="0" fillId="0" borderId="61" xfId="11" applyFont="1" applyBorder="1" applyProtection="1">
      <protection locked="0"/>
    </xf>
    <xf numFmtId="38" fontId="0" fillId="3" borderId="62" xfId="11" applyFont="1" applyFill="1" applyBorder="1" applyAlignment="1">
      <alignment shrinkToFit="1"/>
    </xf>
    <xf numFmtId="38" fontId="0" fillId="5" borderId="63" xfId="11" applyFont="1" applyFill="1" applyBorder="1" applyAlignment="1">
      <alignment horizontal="right" vertical="center"/>
    </xf>
    <xf numFmtId="0" fontId="0" fillId="5" borderId="64" xfId="0" applyFont="1" applyFill="1" applyBorder="1"/>
    <xf numFmtId="0" fontId="35" fillId="6" borderId="0" xfId="0" applyFont="1" applyFill="1" applyAlignment="1">
      <alignment horizontal="left" vertical="center"/>
    </xf>
    <xf numFmtId="0" fontId="36" fillId="6" borderId="0" xfId="0" applyFont="1" applyFill="1" applyBorder="1" applyAlignment="1">
      <alignment vertical="center"/>
    </xf>
    <xf numFmtId="0" fontId="24" fillId="3" borderId="24" xfId="0" applyFont="1" applyFill="1" applyBorder="1" applyAlignment="1">
      <alignment horizontal="center" vertical="center" wrapText="1"/>
    </xf>
    <xf numFmtId="49" fontId="37" fillId="3" borderId="10" xfId="0" applyNumberFormat="1" applyFont="1" applyFill="1" applyBorder="1" applyAlignment="1">
      <alignment horizontal="center" vertical="center" wrapText="1"/>
    </xf>
    <xf numFmtId="0" fontId="0" fillId="0" borderId="12" xfId="0" applyFont="1" applyBorder="1" applyProtection="1">
      <protection locked="0"/>
    </xf>
    <xf numFmtId="0" fontId="0" fillId="0" borderId="13" xfId="0" applyFont="1" applyBorder="1" applyProtection="1">
      <protection locked="0"/>
    </xf>
    <xf numFmtId="38" fontId="0" fillId="3" borderId="14" xfId="11" applyFont="1" applyFill="1" applyBorder="1" applyAlignment="1" applyProtection="1">
      <alignment shrinkToFit="1"/>
    </xf>
    <xf numFmtId="0" fontId="36" fillId="6" borderId="0" xfId="0" applyFont="1" applyFill="1" applyAlignment="1">
      <alignment vertical="center"/>
    </xf>
    <xf numFmtId="0" fontId="24" fillId="3" borderId="33" xfId="0" applyFont="1" applyFill="1" applyBorder="1" applyAlignment="1">
      <alignment horizontal="center" vertical="center" wrapText="1"/>
    </xf>
    <xf numFmtId="0" fontId="24" fillId="3" borderId="0" xfId="0" applyFont="1" applyFill="1" applyBorder="1" applyAlignment="1">
      <alignment horizontal="center" vertical="center" wrapText="1"/>
    </xf>
    <xf numFmtId="49" fontId="0" fillId="3" borderId="28" xfId="0" applyNumberFormat="1" applyFont="1" applyFill="1" applyBorder="1" applyAlignment="1">
      <alignment horizontal="center" shrinkToFit="1"/>
    </xf>
    <xf numFmtId="49" fontId="0" fillId="3" borderId="29" xfId="0" applyNumberFormat="1" applyFont="1" applyFill="1" applyBorder="1" applyAlignment="1">
      <alignment horizontal="center" shrinkToFit="1"/>
    </xf>
    <xf numFmtId="49" fontId="0" fillId="4" borderId="29" xfId="0" applyNumberFormat="1" applyFont="1" applyFill="1" applyBorder="1" applyAlignment="1">
      <alignment horizontal="center" shrinkToFit="1"/>
    </xf>
    <xf numFmtId="49" fontId="0" fillId="3" borderId="29" xfId="0" applyNumberFormat="1" applyFont="1" applyFill="1" applyBorder="1" applyAlignment="1">
      <alignment horizontal="center"/>
    </xf>
    <xf numFmtId="49" fontId="0" fillId="3" borderId="30" xfId="0" applyNumberFormat="1" applyFont="1" applyFill="1" applyBorder="1" applyAlignment="1">
      <alignment horizontal="center"/>
    </xf>
    <xf numFmtId="49" fontId="0" fillId="3" borderId="21" xfId="0" applyNumberFormat="1" applyFont="1" applyFill="1" applyBorder="1" applyAlignment="1" applyProtection="1">
      <alignment horizontal="center" shrinkToFit="1"/>
    </xf>
    <xf numFmtId="49" fontId="0" fillId="0" borderId="0" xfId="0" applyNumberFormat="1" applyFont="1"/>
    <xf numFmtId="0" fontId="0" fillId="5" borderId="65" xfId="0" applyFont="1" applyFill="1" applyBorder="1"/>
    <xf numFmtId="0" fontId="0" fillId="5" borderId="66" xfId="0" applyFont="1" applyFill="1" applyBorder="1" applyAlignment="1">
      <alignment vertical="center"/>
    </xf>
    <xf numFmtId="0" fontId="0" fillId="5" borderId="15" xfId="0" applyFont="1" applyFill="1" applyBorder="1" applyAlignment="1">
      <alignment vertical="center"/>
    </xf>
    <xf numFmtId="0" fontId="24" fillId="3" borderId="50" xfId="0" applyFont="1" applyFill="1" applyBorder="1" applyAlignment="1">
      <alignment horizontal="center" vertical="center" wrapText="1"/>
    </xf>
    <xf numFmtId="49" fontId="24" fillId="3" borderId="36" xfId="0" applyNumberFormat="1" applyFont="1" applyFill="1" applyBorder="1" applyAlignment="1">
      <alignment horizontal="center" vertical="center" wrapText="1"/>
    </xf>
    <xf numFmtId="0" fontId="29" fillId="0" borderId="37" xfId="0" applyFont="1" applyBorder="1" applyAlignment="1" applyProtection="1">
      <alignment horizontal="left" shrinkToFit="1"/>
      <protection locked="0"/>
    </xf>
    <xf numFmtId="0" fontId="29" fillId="0" borderId="38" xfId="0" applyFont="1" applyBorder="1" applyAlignment="1" applyProtection="1">
      <alignment horizontal="left" shrinkToFit="1"/>
      <protection locked="0"/>
    </xf>
    <xf numFmtId="0" fontId="0" fillId="0" borderId="38" xfId="0" applyFont="1" applyBorder="1" applyAlignment="1" applyProtection="1">
      <alignment horizontal="left" shrinkToFit="1"/>
      <protection locked="0"/>
    </xf>
    <xf numFmtId="0" fontId="0" fillId="0" borderId="38" xfId="0" applyFont="1" applyBorder="1" applyAlignment="1" applyProtection="1">
      <alignment horizontal="left"/>
      <protection locked="0"/>
    </xf>
    <xf numFmtId="0" fontId="0" fillId="0" borderId="39" xfId="0" applyFont="1" applyBorder="1" applyAlignment="1" applyProtection="1">
      <alignment horizontal="left"/>
      <protection locked="0"/>
    </xf>
    <xf numFmtId="0" fontId="0" fillId="3" borderId="40" xfId="0" applyFont="1" applyFill="1" applyBorder="1" applyAlignment="1" applyProtection="1">
      <alignment horizontal="left" shrinkToFit="1"/>
    </xf>
    <xf numFmtId="0" fontId="0" fillId="3" borderId="63" xfId="0" applyFont="1" applyFill="1" applyBorder="1" applyAlignment="1">
      <alignment vertical="center"/>
    </xf>
    <xf numFmtId="0" fontId="0" fillId="3" borderId="67" xfId="0" applyFont="1" applyFill="1" applyBorder="1"/>
    <xf numFmtId="0" fontId="0" fillId="3" borderId="0" xfId="0" applyFont="1" applyFill="1" applyBorder="1" applyAlignment="1">
      <alignment vertical="center"/>
    </xf>
    <xf numFmtId="0" fontId="0" fillId="3" borderId="0" xfId="0" applyFont="1" applyFill="1"/>
    <xf numFmtId="38" fontId="0" fillId="0" borderId="28" xfId="11" applyFont="1" applyBorder="1" applyAlignment="1">
      <alignment shrinkToFit="1"/>
    </xf>
    <xf numFmtId="38" fontId="0" fillId="0" borderId="29" xfId="11" applyFont="1" applyBorder="1" applyAlignment="1">
      <alignment shrinkToFit="1"/>
    </xf>
    <xf numFmtId="38" fontId="0" fillId="0" borderId="29" xfId="11" applyFont="1" applyBorder="1"/>
    <xf numFmtId="38" fontId="0" fillId="0" borderId="30" xfId="11" applyFont="1" applyBorder="1"/>
    <xf numFmtId="38" fontId="0" fillId="3" borderId="0" xfId="0" applyNumberFormat="1" applyFont="1" applyFill="1" applyAlignment="1">
      <alignment shrinkToFit="1"/>
    </xf>
    <xf numFmtId="0" fontId="25" fillId="0" borderId="68"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25" fillId="0" borderId="70" xfId="0" applyFont="1" applyFill="1" applyBorder="1" applyAlignment="1" applyProtection="1">
      <alignment horizontal="center" vertical="center"/>
      <protection locked="0"/>
    </xf>
    <xf numFmtId="0" fontId="36" fillId="6" borderId="0" xfId="0" applyFont="1" applyFill="1" applyBorder="1" applyAlignment="1" applyProtection="1">
      <alignment vertical="center"/>
      <protection locked="0"/>
    </xf>
    <xf numFmtId="0" fontId="38" fillId="3" borderId="8" xfId="0" applyFont="1" applyFill="1" applyBorder="1" applyAlignment="1">
      <alignment horizontal="center" vertical="center" wrapText="1"/>
    </xf>
    <xf numFmtId="38" fontId="0" fillId="3" borderId="11" xfId="0" applyNumberFormat="1" applyFont="1" applyFill="1" applyBorder="1" applyAlignment="1">
      <alignment shrinkToFit="1"/>
    </xf>
    <xf numFmtId="38" fontId="0" fillId="3" borderId="12" xfId="0" applyNumberFormat="1" applyFont="1" applyFill="1" applyBorder="1" applyAlignment="1">
      <alignment shrinkToFit="1"/>
    </xf>
    <xf numFmtId="38" fontId="0" fillId="4" borderId="47" xfId="0" applyNumberFormat="1" applyFont="1" applyFill="1" applyBorder="1" applyAlignment="1">
      <alignment shrinkToFit="1"/>
    </xf>
    <xf numFmtId="38" fontId="0" fillId="3" borderId="12" xfId="0" applyNumberFormat="1" applyFont="1" applyFill="1" applyBorder="1"/>
    <xf numFmtId="38" fontId="0" fillId="3" borderId="13" xfId="0" applyNumberFormat="1" applyFont="1" applyFill="1" applyBorder="1"/>
    <xf numFmtId="38" fontId="0" fillId="3" borderId="14" xfId="0" applyNumberFormat="1" applyFont="1" applyFill="1" applyBorder="1" applyAlignment="1">
      <alignment shrinkToFit="1"/>
    </xf>
    <xf numFmtId="0" fontId="0" fillId="5" borderId="63" xfId="0" applyFont="1" applyFill="1" applyBorder="1" applyAlignment="1">
      <alignment vertical="center"/>
    </xf>
    <xf numFmtId="0" fontId="25" fillId="0" borderId="64" xfId="0" applyFont="1" applyFill="1" applyBorder="1" applyAlignment="1" applyProtection="1">
      <alignment horizontal="center" vertical="center"/>
      <protection locked="0"/>
    </xf>
    <xf numFmtId="0" fontId="25" fillId="0" borderId="71" xfId="0" applyFont="1" applyFill="1" applyBorder="1" applyAlignment="1" applyProtection="1">
      <alignment horizontal="center" vertical="center"/>
      <protection locked="0"/>
    </xf>
    <xf numFmtId="0" fontId="32" fillId="5" borderId="32" xfId="0" applyFont="1" applyFill="1" applyBorder="1" applyAlignment="1">
      <alignment vertical="center"/>
    </xf>
    <xf numFmtId="0" fontId="39" fillId="6" borderId="0" xfId="0" applyFont="1" applyFill="1" applyBorder="1" applyAlignment="1">
      <alignment vertical="center"/>
    </xf>
    <xf numFmtId="0" fontId="38" fillId="3" borderId="32" xfId="0" applyFont="1" applyFill="1" applyBorder="1" applyAlignment="1">
      <alignment horizontal="center" vertical="center" wrapText="1"/>
    </xf>
    <xf numFmtId="38" fontId="24" fillId="3" borderId="45" xfId="11" applyFont="1" applyFill="1" applyBorder="1" applyAlignment="1">
      <alignment horizontal="center" vertical="center"/>
    </xf>
    <xf numFmtId="38" fontId="0" fillId="3" borderId="46" xfId="0" applyNumberFormat="1" applyFont="1" applyFill="1" applyBorder="1" applyAlignment="1">
      <alignment shrinkToFit="1"/>
    </xf>
    <xf numFmtId="38" fontId="0" fillId="3" borderId="47" xfId="0" applyNumberFormat="1" applyFont="1" applyFill="1" applyBorder="1" applyAlignment="1">
      <alignment shrinkToFit="1"/>
    </xf>
    <xf numFmtId="38" fontId="0" fillId="3" borderId="47" xfId="0" applyNumberFormat="1" applyFont="1" applyFill="1" applyBorder="1"/>
    <xf numFmtId="38" fontId="0" fillId="3" borderId="48" xfId="0" applyNumberFormat="1" applyFont="1" applyFill="1" applyBorder="1"/>
    <xf numFmtId="0" fontId="0" fillId="0" borderId="64" xfId="0" applyFont="1" applyFill="1" applyBorder="1" applyAlignment="1" applyProtection="1">
      <alignment vertical="center"/>
      <protection locked="0"/>
    </xf>
    <xf numFmtId="0" fontId="0" fillId="0" borderId="71" xfId="0" applyFont="1" applyFill="1" applyBorder="1" applyAlignment="1" applyProtection="1">
      <alignment vertical="center"/>
      <protection locked="0"/>
    </xf>
    <xf numFmtId="38" fontId="0" fillId="3" borderId="28" xfId="11" applyFont="1" applyFill="1" applyBorder="1" applyAlignment="1">
      <alignment shrinkToFit="1"/>
    </xf>
    <xf numFmtId="38" fontId="0" fillId="3" borderId="72" xfId="11" applyFont="1" applyFill="1" applyBorder="1" applyAlignment="1">
      <alignment shrinkToFit="1"/>
    </xf>
    <xf numFmtId="38" fontId="0" fillId="3" borderId="73" xfId="11" applyFont="1" applyFill="1" applyBorder="1" applyAlignment="1">
      <alignment shrinkToFit="1"/>
    </xf>
    <xf numFmtId="0" fontId="0" fillId="5" borderId="35" xfId="0" applyFont="1" applyFill="1" applyBorder="1" applyAlignment="1">
      <alignment vertical="center"/>
    </xf>
    <xf numFmtId="0" fontId="0" fillId="5" borderId="74" xfId="0" applyFont="1" applyFill="1" applyBorder="1" applyAlignment="1">
      <alignment vertical="center"/>
    </xf>
    <xf numFmtId="0" fontId="0" fillId="5" borderId="75" xfId="0" applyFont="1" applyFill="1" applyBorder="1" applyAlignment="1">
      <alignment vertical="center"/>
    </xf>
    <xf numFmtId="38" fontId="29" fillId="0" borderId="34" xfId="11" applyFont="1" applyFill="1" applyBorder="1" applyAlignment="1" applyProtection="1">
      <alignment vertical="center"/>
      <protection locked="0"/>
    </xf>
    <xf numFmtId="0" fontId="24" fillId="3" borderId="51" xfId="0" applyFont="1" applyFill="1" applyBorder="1" applyAlignment="1">
      <alignment horizontal="center" vertical="center" wrapText="1"/>
    </xf>
    <xf numFmtId="38" fontId="0" fillId="3" borderId="52" xfId="0" applyNumberFormat="1" applyFont="1" applyFill="1" applyBorder="1" applyAlignment="1">
      <alignment shrinkToFit="1"/>
    </xf>
    <xf numFmtId="38" fontId="0" fillId="3" borderId="53" xfId="0" applyNumberFormat="1" applyFont="1" applyFill="1" applyBorder="1" applyAlignment="1">
      <alignment shrinkToFit="1"/>
    </xf>
    <xf numFmtId="38" fontId="0" fillId="4" borderId="53" xfId="0" applyNumberFormat="1" applyFont="1" applyFill="1" applyBorder="1" applyAlignment="1">
      <alignment shrinkToFit="1"/>
    </xf>
    <xf numFmtId="38" fontId="0" fillId="3" borderId="53" xfId="0" applyNumberFormat="1" applyFont="1" applyFill="1" applyBorder="1"/>
    <xf numFmtId="38" fontId="0" fillId="3" borderId="54" xfId="0" applyNumberFormat="1" applyFont="1" applyFill="1" applyBorder="1"/>
    <xf numFmtId="0" fontId="0" fillId="0" borderId="67" xfId="0" applyFont="1" applyFill="1" applyBorder="1" applyAlignment="1" applyProtection="1">
      <alignment vertical="center"/>
      <protection locked="0"/>
    </xf>
    <xf numFmtId="0" fontId="24" fillId="3" borderId="76" xfId="0" applyFont="1" applyFill="1" applyBorder="1" applyAlignment="1">
      <alignment horizontal="center" vertical="center" wrapText="1"/>
    </xf>
    <xf numFmtId="38" fontId="0" fillId="3" borderId="18" xfId="11" applyFont="1" applyFill="1" applyBorder="1" applyAlignment="1">
      <alignment shrinkToFit="1"/>
    </xf>
    <xf numFmtId="38" fontId="0" fillId="3" borderId="19" xfId="11" applyFont="1" applyFill="1" applyBorder="1" applyAlignment="1">
      <alignment shrinkToFit="1"/>
    </xf>
    <xf numFmtId="38" fontId="0" fillId="4" borderId="29" xfId="11" applyFont="1" applyFill="1" applyBorder="1" applyAlignment="1">
      <alignment shrinkToFit="1"/>
    </xf>
    <xf numFmtId="38" fontId="0" fillId="3" borderId="19" xfId="11" applyFont="1" applyFill="1" applyBorder="1"/>
    <xf numFmtId="38" fontId="0" fillId="3" borderId="20" xfId="11" applyFont="1" applyFill="1" applyBorder="1"/>
    <xf numFmtId="38" fontId="0" fillId="3" borderId="77" xfId="11" applyFont="1" applyFill="1" applyBorder="1" applyAlignment="1">
      <alignment shrinkToFit="1"/>
    </xf>
    <xf numFmtId="0" fontId="40" fillId="5" borderId="0" xfId="0" applyFont="1" applyFill="1" applyBorder="1" applyAlignment="1">
      <alignment vertical="center" shrinkToFit="1"/>
    </xf>
    <xf numFmtId="0" fontId="0" fillId="5" borderId="33" xfId="0" applyFill="1" applyBorder="1" applyAlignment="1">
      <alignment vertical="center" shrinkToFit="1"/>
    </xf>
    <xf numFmtId="0" fontId="0" fillId="5" borderId="78" xfId="0" applyFill="1" applyBorder="1" applyAlignment="1">
      <alignment vertical="center" shrinkToFit="1"/>
    </xf>
    <xf numFmtId="0" fontId="29" fillId="0" borderId="32"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38" fontId="0" fillId="4" borderId="19" xfId="0" applyNumberFormat="1" applyFont="1" applyFill="1" applyBorder="1" applyAlignment="1">
      <alignment shrinkToFit="1"/>
    </xf>
    <xf numFmtId="176" fontId="25" fillId="0" borderId="33" xfId="0" applyNumberFormat="1" applyFont="1" applyFill="1" applyBorder="1" applyAlignment="1" applyProtection="1">
      <alignment vertical="center" shrinkToFit="1"/>
      <protection locked="0"/>
    </xf>
    <xf numFmtId="176" fontId="25" fillId="0" borderId="78" xfId="0" applyNumberFormat="1" applyFont="1" applyFill="1" applyBorder="1" applyAlignment="1" applyProtection="1">
      <alignment vertical="center" shrinkToFit="1"/>
      <protection locked="0"/>
    </xf>
    <xf numFmtId="0" fontId="38"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38" fontId="0" fillId="3" borderId="59" xfId="0" applyNumberFormat="1" applyFont="1" applyFill="1" applyBorder="1" applyAlignment="1">
      <alignment shrinkToFit="1"/>
    </xf>
    <xf numFmtId="38" fontId="0" fillId="3" borderId="60" xfId="0" applyNumberFormat="1" applyFont="1" applyFill="1" applyBorder="1" applyAlignment="1">
      <alignment shrinkToFit="1"/>
    </xf>
    <xf numFmtId="38" fontId="0" fillId="3" borderId="60" xfId="0" applyNumberFormat="1" applyFont="1" applyFill="1" applyBorder="1"/>
    <xf numFmtId="38" fontId="0" fillId="3" borderId="61" xfId="0" applyNumberFormat="1" applyFont="1" applyFill="1" applyBorder="1"/>
    <xf numFmtId="0" fontId="31" fillId="5" borderId="79" xfId="0" applyFont="1" applyFill="1" applyBorder="1" applyAlignment="1">
      <alignment vertical="center"/>
    </xf>
    <xf numFmtId="0" fontId="40" fillId="5" borderId="50" xfId="0" applyFont="1" applyFill="1" applyBorder="1" applyAlignment="1">
      <alignment vertical="center" shrinkToFit="1"/>
    </xf>
    <xf numFmtId="0" fontId="40" fillId="5" borderId="38" xfId="0" applyFont="1" applyFill="1" applyBorder="1" applyAlignment="1">
      <alignment vertical="center" shrinkToFit="1"/>
    </xf>
    <xf numFmtId="0" fontId="40" fillId="5" borderId="36" xfId="0" applyFont="1" applyFill="1" applyBorder="1" applyAlignment="1">
      <alignment vertical="center" shrinkToFit="1"/>
    </xf>
    <xf numFmtId="0" fontId="40" fillId="5" borderId="80" xfId="0" applyFont="1" applyFill="1" applyBorder="1" applyAlignment="1">
      <alignment vertical="center" shrinkToFit="1"/>
    </xf>
    <xf numFmtId="0" fontId="29" fillId="0" borderId="34" xfId="0" applyFont="1" applyFill="1" applyBorder="1" applyAlignment="1" applyProtection="1">
      <alignment vertical="center"/>
      <protection locked="0"/>
    </xf>
    <xf numFmtId="0" fontId="24" fillId="3" borderId="81"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0" fillId="0" borderId="46" xfId="0" applyFont="1" applyFill="1" applyBorder="1" applyAlignment="1" applyProtection="1">
      <alignment shrinkToFit="1"/>
      <protection locked="0"/>
    </xf>
    <xf numFmtId="0" fontId="0" fillId="0" borderId="47" xfId="0" applyFont="1" applyFill="1" applyBorder="1" applyAlignment="1" applyProtection="1">
      <alignment shrinkToFit="1"/>
      <protection locked="0"/>
    </xf>
    <xf numFmtId="0" fontId="0" fillId="0" borderId="47" xfId="0" applyFont="1" applyFill="1" applyBorder="1" applyProtection="1">
      <protection locked="0"/>
    </xf>
    <xf numFmtId="0" fontId="0" fillId="0" borderId="48" xfId="0" applyFont="1" applyFill="1" applyBorder="1" applyProtection="1">
      <protection locked="0"/>
    </xf>
    <xf numFmtId="0" fontId="0" fillId="0" borderId="49" xfId="0" applyFont="1" applyFill="1" applyBorder="1" applyAlignment="1" applyProtection="1">
      <alignment shrinkToFit="1"/>
      <protection locked="0"/>
    </xf>
    <xf numFmtId="0" fontId="41" fillId="2" borderId="10" xfId="0" applyFont="1" applyFill="1" applyBorder="1" applyAlignment="1">
      <alignment vertical="center"/>
    </xf>
    <xf numFmtId="0" fontId="41" fillId="0" borderId="0" xfId="0" applyFont="1" applyFill="1" applyBorder="1" applyAlignment="1">
      <alignment vertical="center"/>
    </xf>
    <xf numFmtId="0" fontId="13" fillId="7" borderId="0" xfId="4" applyFont="1" applyFill="1" applyAlignment="1">
      <alignment vertical="center"/>
    </xf>
    <xf numFmtId="0" fontId="13" fillId="0" borderId="83" xfId="4" applyFont="1" applyBorder="1" applyAlignment="1">
      <alignment vertical="center"/>
    </xf>
    <xf numFmtId="0" fontId="13" fillId="7" borderId="83" xfId="4" applyFont="1" applyFill="1" applyBorder="1" applyAlignment="1">
      <alignment vertical="center"/>
    </xf>
    <xf numFmtId="0" fontId="13" fillId="0" borderId="84" xfId="4" applyFont="1" applyBorder="1" applyAlignment="1">
      <alignment vertical="center"/>
    </xf>
    <xf numFmtId="0" fontId="13" fillId="8" borderId="3" xfId="4" applyFont="1" applyFill="1" applyBorder="1" applyAlignment="1">
      <alignment horizontal="center" vertical="center"/>
    </xf>
    <xf numFmtId="0" fontId="13" fillId="8" borderId="85" xfId="4" applyFont="1" applyFill="1" applyBorder="1" applyAlignment="1">
      <alignment horizontal="center" vertical="center"/>
    </xf>
    <xf numFmtId="177" fontId="17" fillId="0" borderId="4" xfId="4" applyNumberFormat="1" applyFont="1" applyFill="1" applyBorder="1" applyAlignment="1" applyProtection="1">
      <alignment vertical="center" shrinkToFit="1"/>
      <protection locked="0"/>
    </xf>
    <xf numFmtId="177" fontId="17" fillId="0" borderId="2" xfId="4" applyNumberFormat="1" applyFont="1" applyFill="1" applyBorder="1" applyAlignment="1" applyProtection="1">
      <alignment vertical="center" shrinkToFit="1"/>
      <protection locked="0"/>
    </xf>
    <xf numFmtId="177" fontId="17" fillId="0" borderId="86" xfId="4" applyNumberFormat="1" applyFont="1" applyFill="1" applyBorder="1" applyAlignment="1" applyProtection="1">
      <alignment vertical="center" shrinkToFit="1"/>
      <protection locked="0"/>
    </xf>
    <xf numFmtId="0" fontId="42" fillId="0" borderId="0" xfId="4" applyFont="1" applyAlignment="1">
      <alignment vertical="center"/>
    </xf>
    <xf numFmtId="0" fontId="43" fillId="8" borderId="1" xfId="4" applyFont="1" applyFill="1" applyBorder="1" applyAlignment="1">
      <alignment horizontal="right" vertical="center" wrapText="1"/>
    </xf>
    <xf numFmtId="0" fontId="43" fillId="8" borderId="7" xfId="4" applyFont="1" applyFill="1" applyBorder="1" applyAlignment="1">
      <alignment horizontal="center" vertical="center"/>
    </xf>
    <xf numFmtId="0" fontId="17" fillId="0" borderId="4" xfId="4" applyNumberFormat="1" applyFont="1" applyFill="1" applyBorder="1" applyAlignment="1" applyProtection="1">
      <alignment horizontal="center" vertical="center" shrinkToFit="1"/>
      <protection locked="0"/>
    </xf>
    <xf numFmtId="0" fontId="17" fillId="0" borderId="87" xfId="4" applyNumberFormat="1" applyFont="1" applyFill="1" applyBorder="1" applyAlignment="1" applyProtection="1">
      <alignment horizontal="center" vertical="center" shrinkToFit="1"/>
      <protection locked="0"/>
    </xf>
    <xf numFmtId="177" fontId="17" fillId="0" borderId="2" xfId="4" applyNumberFormat="1" applyFont="1" applyFill="1" applyBorder="1" applyAlignment="1" applyProtection="1">
      <alignment horizontal="center" vertical="center" shrinkToFit="1"/>
      <protection locked="0"/>
    </xf>
    <xf numFmtId="0" fontId="43" fillId="0" borderId="0" xfId="4" applyFont="1" applyFill="1" applyBorder="1" applyAlignment="1">
      <alignment horizontal="center" vertical="center"/>
    </xf>
    <xf numFmtId="0" fontId="43" fillId="8" borderId="22" xfId="4" applyFont="1" applyFill="1" applyBorder="1" applyAlignment="1">
      <alignment vertical="center" wrapText="1"/>
    </xf>
    <xf numFmtId="0" fontId="42" fillId="0" borderId="0" xfId="4" applyFont="1" applyAlignment="1">
      <alignment vertical="center" shrinkToFit="1"/>
    </xf>
    <xf numFmtId="0" fontId="13" fillId="0" borderId="0" xfId="4" applyFont="1" applyFill="1" applyAlignment="1">
      <alignment horizontal="center" vertical="center" shrinkToFit="1"/>
    </xf>
    <xf numFmtId="0" fontId="13" fillId="8" borderId="2" xfId="4" applyFont="1" applyFill="1" applyBorder="1" applyAlignment="1">
      <alignment horizontal="center" vertical="center" shrinkToFit="1"/>
    </xf>
    <xf numFmtId="0" fontId="13" fillId="8" borderId="7" xfId="4" applyFont="1" applyFill="1" applyBorder="1" applyAlignment="1">
      <alignment horizontal="center" vertical="center" shrinkToFit="1"/>
    </xf>
    <xf numFmtId="0" fontId="17" fillId="0" borderId="4" xfId="4" applyFont="1" applyFill="1" applyBorder="1" applyAlignment="1" applyProtection="1">
      <alignment vertical="center" shrinkToFit="1"/>
      <protection locked="0"/>
    </xf>
    <xf numFmtId="0" fontId="17" fillId="0" borderId="87" xfId="4" applyFont="1" applyFill="1" applyBorder="1" applyAlignment="1" applyProtection="1">
      <alignment vertical="center" shrinkToFit="1"/>
      <protection locked="0"/>
    </xf>
    <xf numFmtId="0" fontId="13" fillId="8" borderId="2" xfId="4" applyFont="1" applyFill="1" applyBorder="1" applyAlignment="1">
      <alignment horizontal="center" vertical="center"/>
    </xf>
    <xf numFmtId="0" fontId="13" fillId="8" borderId="7" xfId="4" applyFont="1" applyFill="1" applyBorder="1" applyAlignment="1">
      <alignment horizontal="center" vertical="center"/>
    </xf>
    <xf numFmtId="38" fontId="17" fillId="0" borderId="4" xfId="1" applyFont="1" applyFill="1" applyBorder="1" applyAlignment="1" applyProtection="1">
      <alignment vertical="center" shrinkToFit="1"/>
      <protection locked="0"/>
    </xf>
    <xf numFmtId="38" fontId="17" fillId="0" borderId="2" xfId="1" applyFont="1" applyFill="1" applyBorder="1" applyAlignment="1" applyProtection="1">
      <alignment vertical="center" shrinkToFit="1"/>
      <protection locked="0"/>
    </xf>
    <xf numFmtId="38" fontId="17" fillId="0" borderId="86" xfId="1" applyFont="1" applyFill="1" applyBorder="1" applyAlignment="1" applyProtection="1">
      <alignment vertical="center" shrinkToFit="1"/>
      <protection locked="0"/>
    </xf>
    <xf numFmtId="0" fontId="13" fillId="0" borderId="0" xfId="4" applyFont="1" applyAlignment="1">
      <alignment horizontal="right" vertical="center"/>
    </xf>
    <xf numFmtId="38" fontId="17" fillId="0" borderId="4" xfId="1" applyFont="1" applyFill="1" applyBorder="1" applyAlignment="1">
      <alignment vertical="center" shrinkToFit="1"/>
    </xf>
    <xf numFmtId="38" fontId="17" fillId="0" borderId="87" xfId="1" applyFont="1" applyFill="1" applyBorder="1" applyAlignment="1">
      <alignment vertical="center" shrinkToFit="1"/>
    </xf>
    <xf numFmtId="0" fontId="13" fillId="0" borderId="0" xfId="4" applyFont="1" applyFill="1" applyAlignment="1">
      <alignment horizontal="left" vertical="center"/>
    </xf>
    <xf numFmtId="0" fontId="17" fillId="0" borderId="2" xfId="4" applyFont="1" applyFill="1" applyBorder="1" applyAlignment="1" applyProtection="1">
      <alignment vertical="center" shrinkToFit="1"/>
      <protection locked="0"/>
    </xf>
    <xf numFmtId="0" fontId="17" fillId="0" borderId="86" xfId="4" applyFont="1" applyFill="1" applyBorder="1" applyAlignment="1" applyProtection="1">
      <alignment vertical="center" shrinkToFit="1"/>
      <protection locked="0"/>
    </xf>
    <xf numFmtId="0" fontId="13" fillId="8" borderId="1" xfId="4" applyFont="1" applyFill="1" applyBorder="1" applyAlignment="1">
      <alignment horizontal="left" vertical="center"/>
    </xf>
    <xf numFmtId="0" fontId="17" fillId="0" borderId="88" xfId="4" applyNumberFormat="1" applyFont="1" applyFill="1" applyBorder="1" applyAlignment="1" applyProtection="1">
      <alignment horizontal="center" vertical="center" shrinkToFit="1"/>
      <protection locked="0"/>
    </xf>
    <xf numFmtId="0" fontId="13" fillId="8" borderId="64" xfId="4" applyFont="1" applyFill="1" applyBorder="1" applyAlignment="1">
      <alignment horizontal="left" vertical="center"/>
    </xf>
    <xf numFmtId="0" fontId="17" fillId="0" borderId="5" xfId="4" applyNumberFormat="1" applyFont="1" applyFill="1" applyBorder="1" applyAlignment="1" applyProtection="1">
      <alignment horizontal="center" vertical="center" shrinkToFit="1"/>
      <protection locked="0"/>
    </xf>
    <xf numFmtId="0" fontId="17" fillId="0" borderId="2" xfId="4" applyNumberFormat="1" applyFont="1" applyFill="1" applyBorder="1" applyAlignment="1" applyProtection="1">
      <alignment horizontal="center" vertical="center" shrinkToFit="1"/>
      <protection locked="0"/>
    </xf>
    <xf numFmtId="0" fontId="13" fillId="8" borderId="22" xfId="4" applyFont="1" applyFill="1" applyBorder="1" applyAlignment="1">
      <alignment horizontal="left" vertical="center"/>
    </xf>
    <xf numFmtId="0" fontId="17" fillId="0" borderId="89" xfId="4" applyNumberFormat="1" applyFont="1" applyFill="1" applyBorder="1" applyAlignment="1" applyProtection="1">
      <alignment horizontal="center" vertical="center" shrinkToFit="1"/>
      <protection locked="0"/>
    </xf>
    <xf numFmtId="0" fontId="13" fillId="0" borderId="0" xfId="4" applyFont="1" applyBorder="1" applyAlignment="1">
      <alignment vertical="center"/>
    </xf>
    <xf numFmtId="0" fontId="44" fillId="0" borderId="0" xfId="4" applyFont="1" applyBorder="1" applyAlignment="1">
      <alignment vertical="center"/>
    </xf>
    <xf numFmtId="0" fontId="13" fillId="0" borderId="90" xfId="4" applyFont="1" applyBorder="1" applyAlignment="1">
      <alignment vertical="center"/>
    </xf>
    <xf numFmtId="0" fontId="13" fillId="0" borderId="0" xfId="4" applyFont="1" applyAlignment="1">
      <alignment vertical="center" wrapText="1"/>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vertical="center" shrinkToFit="1"/>
    </xf>
    <xf numFmtId="38" fontId="15" fillId="0" borderId="0" xfId="11"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45" fillId="0" borderId="0" xfId="0" applyFont="1" applyFill="1" applyAlignment="1" applyProtection="1">
      <alignment vertical="center"/>
    </xf>
    <xf numFmtId="0" fontId="15" fillId="0" borderId="91" xfId="0" applyFont="1" applyFill="1" applyBorder="1" applyAlignment="1" applyProtection="1">
      <alignment horizontal="center" vertical="center" wrapText="1" shrinkToFit="1"/>
    </xf>
    <xf numFmtId="178" fontId="15" fillId="0" borderId="92" xfId="0" applyNumberFormat="1" applyFont="1" applyBorder="1" applyAlignment="1" applyProtection="1">
      <alignment horizontal="center" vertical="center"/>
    </xf>
    <xf numFmtId="0" fontId="15" fillId="0" borderId="93" xfId="0" applyFont="1" applyFill="1" applyBorder="1" applyAlignment="1" applyProtection="1">
      <alignment horizontal="left" vertical="center"/>
    </xf>
    <xf numFmtId="178" fontId="15" fillId="0" borderId="94" xfId="0" applyNumberFormat="1" applyFont="1" applyBorder="1" applyAlignment="1" applyProtection="1">
      <alignment horizontal="center" vertical="center"/>
    </xf>
    <xf numFmtId="178" fontId="15" fillId="0" borderId="95" xfId="0" applyNumberFormat="1" applyFont="1" applyBorder="1" applyAlignment="1" applyProtection="1">
      <alignment horizontal="center" vertical="center"/>
    </xf>
    <xf numFmtId="178" fontId="15" fillId="0" borderId="96" xfId="0" applyNumberFormat="1" applyFont="1" applyBorder="1" applyAlignment="1" applyProtection="1">
      <alignment horizontal="center" vertical="center"/>
      <protection locked="0"/>
    </xf>
    <xf numFmtId="178" fontId="15" fillId="0" borderId="95" xfId="0" applyNumberFormat="1" applyFont="1" applyBorder="1" applyAlignment="1" applyProtection="1">
      <alignment horizontal="center" vertical="center"/>
      <protection locked="0"/>
    </xf>
    <xf numFmtId="178" fontId="15" fillId="0" borderId="92" xfId="0" applyNumberFormat="1" applyFont="1" applyBorder="1" applyAlignment="1" applyProtection="1">
      <alignment horizontal="center" vertical="center"/>
      <protection locked="0"/>
    </xf>
    <xf numFmtId="0" fontId="45" fillId="0" borderId="0" xfId="0" applyFont="1" applyBorder="1" applyAlignment="1" applyProtection="1">
      <alignment vertical="center"/>
    </xf>
    <xf numFmtId="0" fontId="15" fillId="0" borderId="93" xfId="0" applyFont="1" applyBorder="1" applyAlignment="1" applyProtection="1">
      <alignment vertical="center"/>
    </xf>
    <xf numFmtId="0" fontId="15" fillId="0" borderId="9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97" xfId="0" applyFont="1" applyBorder="1" applyAlignment="1" applyProtection="1">
      <alignment horizontal="center" vertical="center"/>
    </xf>
    <xf numFmtId="5" fontId="45" fillId="0" borderId="0" xfId="0" applyNumberFormat="1" applyFont="1" applyBorder="1" applyAlignment="1" applyProtection="1">
      <alignment vertical="center"/>
    </xf>
    <xf numFmtId="0" fontId="15" fillId="0" borderId="98" xfId="0" applyFont="1" applyFill="1" applyBorder="1" applyAlignment="1" applyProtection="1">
      <alignment horizontal="center" vertical="center"/>
    </xf>
    <xf numFmtId="0" fontId="15" fillId="0" borderId="88" xfId="0" applyFont="1" applyBorder="1" applyAlignment="1" applyProtection="1">
      <alignment horizontal="left" vertical="center" shrinkToFit="1"/>
    </xf>
    <xf numFmtId="0" fontId="15" fillId="0" borderId="99" xfId="0" applyFont="1" applyFill="1" applyBorder="1" applyAlignment="1" applyProtection="1">
      <alignment horizontal="left" vertical="center"/>
    </xf>
    <xf numFmtId="0" fontId="15" fillId="0" borderId="100" xfId="0" applyFont="1" applyBorder="1" applyAlignment="1" applyProtection="1">
      <alignment horizontal="left" vertical="center" shrinkToFit="1"/>
    </xf>
    <xf numFmtId="0" fontId="15" fillId="0" borderId="101" xfId="0" applyFont="1" applyBorder="1" applyAlignment="1" applyProtection="1">
      <alignment horizontal="left" vertical="center" shrinkToFit="1"/>
    </xf>
    <xf numFmtId="0" fontId="15" fillId="0" borderId="101" xfId="0" applyFont="1" applyBorder="1" applyAlignment="1" applyProtection="1">
      <alignment horizontal="left" vertical="center"/>
    </xf>
    <xf numFmtId="0" fontId="15" fillId="0" borderId="102" xfId="0" applyFont="1" applyBorder="1" applyAlignment="1" applyProtection="1">
      <alignment horizontal="left" vertical="center" shrinkToFit="1"/>
      <protection locked="0"/>
    </xf>
    <xf numFmtId="0" fontId="15" fillId="0" borderId="100" xfId="0" applyFont="1" applyBorder="1" applyAlignment="1" applyProtection="1">
      <alignment horizontal="left" vertical="center"/>
    </xf>
    <xf numFmtId="0" fontId="15" fillId="0" borderId="29" xfId="0" applyFont="1" applyBorder="1" applyAlignment="1" applyProtection="1">
      <alignment horizontal="left" vertical="center" shrinkToFit="1"/>
    </xf>
    <xf numFmtId="0" fontId="15" fillId="0" borderId="101" xfId="0" applyFont="1" applyBorder="1" applyAlignment="1" applyProtection="1">
      <alignment horizontal="left" vertical="center" shrinkToFit="1"/>
      <protection locked="0"/>
    </xf>
    <xf numFmtId="0" fontId="15" fillId="0" borderId="88" xfId="0" applyFont="1" applyBorder="1" applyAlignment="1" applyProtection="1">
      <alignment horizontal="left" vertical="center" shrinkToFit="1"/>
      <protection locked="0"/>
    </xf>
    <xf numFmtId="0" fontId="27" fillId="0" borderId="0" xfId="0" applyFont="1" applyBorder="1" applyAlignment="1" applyProtection="1">
      <alignment vertical="center" shrinkToFit="1"/>
    </xf>
    <xf numFmtId="0" fontId="15" fillId="0" borderId="29"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5" fillId="0" borderId="103" xfId="0" applyFont="1" applyBorder="1" applyAlignment="1" applyProtection="1">
      <alignment horizontal="left" vertical="center"/>
    </xf>
    <xf numFmtId="0" fontId="15" fillId="0" borderId="0" xfId="0" applyFont="1" applyBorder="1" applyAlignment="1" applyProtection="1">
      <alignment horizontal="left" vertical="center" shrinkToFit="1"/>
    </xf>
    <xf numFmtId="0" fontId="15" fillId="0" borderId="104" xfId="0" applyFont="1" applyFill="1" applyBorder="1" applyAlignment="1" applyProtection="1">
      <alignment horizontal="center" vertical="center" shrinkToFit="1"/>
    </xf>
    <xf numFmtId="179" fontId="15" fillId="0" borderId="105" xfId="0" applyNumberFormat="1" applyFont="1" applyBorder="1" applyAlignment="1" applyProtection="1">
      <alignment horizontal="right" vertical="center" shrinkToFit="1"/>
      <protection locked="0"/>
    </xf>
    <xf numFmtId="179" fontId="15" fillId="0" borderId="106" xfId="0" applyNumberFormat="1" applyFont="1" applyFill="1" applyBorder="1" applyAlignment="1" applyProtection="1">
      <alignment horizontal="right" vertical="center" shrinkToFit="1"/>
    </xf>
    <xf numFmtId="176" fontId="15" fillId="0" borderId="0" xfId="0" applyNumberFormat="1" applyFont="1" applyBorder="1" applyAlignment="1" applyProtection="1">
      <alignment horizontal="right" vertical="center"/>
    </xf>
    <xf numFmtId="179" fontId="15" fillId="0" borderId="107" xfId="0" applyNumberFormat="1" applyFont="1" applyBorder="1" applyAlignment="1" applyProtection="1">
      <alignment horizontal="right" vertical="center" shrinkToFit="1"/>
      <protection locked="0"/>
    </xf>
    <xf numFmtId="179" fontId="15" fillId="0" borderId="108" xfId="0" applyNumberFormat="1" applyFont="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38" fontId="15" fillId="0" borderId="104" xfId="11" applyFont="1" applyBorder="1" applyAlignment="1" applyProtection="1">
      <alignment horizontal="center" vertical="center" shrinkToFit="1"/>
    </xf>
    <xf numFmtId="38" fontId="15" fillId="0" borderId="0" xfId="11" applyFont="1" applyBorder="1" applyAlignment="1" applyProtection="1">
      <alignment horizontal="right" vertical="center"/>
    </xf>
    <xf numFmtId="38" fontId="15" fillId="0" borderId="0" xfId="11" applyFont="1" applyBorder="1" applyAlignment="1" applyProtection="1">
      <alignment vertical="center"/>
    </xf>
    <xf numFmtId="38" fontId="15" fillId="0" borderId="6" xfId="11" applyFont="1" applyFill="1" applyBorder="1" applyAlignment="1" applyProtection="1">
      <alignment horizontal="center" vertical="center"/>
    </xf>
    <xf numFmtId="0" fontId="15" fillId="0" borderId="110" xfId="0" applyFont="1" applyFill="1" applyBorder="1" applyAlignment="1" applyProtection="1">
      <alignment horizontal="center" vertical="center"/>
    </xf>
    <xf numFmtId="176" fontId="15" fillId="0" borderId="111" xfId="0" applyNumberFormat="1" applyFont="1" applyBorder="1" applyAlignment="1" applyProtection="1">
      <alignment horizontal="left" vertical="center"/>
      <protection locked="0"/>
    </xf>
    <xf numFmtId="176" fontId="15" fillId="0" borderId="112" xfId="0" applyNumberFormat="1" applyFont="1" applyBorder="1" applyAlignment="1" applyProtection="1">
      <alignment horizontal="left" vertical="center"/>
      <protection locked="0"/>
    </xf>
    <xf numFmtId="176" fontId="15" fillId="0" borderId="113" xfId="0" applyNumberFormat="1" applyFont="1" applyBorder="1" applyAlignment="1" applyProtection="1">
      <alignment horizontal="left" vertical="center" shrinkToFit="1"/>
      <protection locked="0"/>
    </xf>
    <xf numFmtId="176" fontId="15" fillId="0" borderId="114" xfId="0" applyNumberFormat="1" applyFont="1" applyBorder="1" applyAlignment="1" applyProtection="1">
      <alignment horizontal="left" vertical="center" shrinkToFit="1"/>
      <protection locked="0"/>
    </xf>
    <xf numFmtId="176" fontId="15" fillId="0" borderId="115" xfId="0" applyNumberFormat="1" applyFont="1" applyBorder="1" applyAlignment="1" applyProtection="1">
      <alignment horizontal="left" vertical="center" shrinkToFit="1"/>
      <protection locked="0"/>
    </xf>
    <xf numFmtId="176" fontId="15" fillId="0" borderId="112" xfId="0" applyNumberFormat="1" applyFont="1" applyBorder="1" applyAlignment="1" applyProtection="1">
      <alignment horizontal="left" vertical="center" shrinkToFit="1"/>
      <protection locked="0"/>
    </xf>
    <xf numFmtId="176" fontId="15" fillId="0" borderId="111" xfId="0" applyNumberFormat="1" applyFont="1" applyBorder="1" applyAlignment="1" applyProtection="1">
      <alignment horizontal="left" vertical="center" shrinkToFit="1"/>
      <protection locked="0"/>
    </xf>
    <xf numFmtId="0" fontId="15" fillId="0" borderId="106" xfId="0" applyFont="1" applyFill="1" applyBorder="1" applyAlignment="1" applyProtection="1">
      <alignment horizontal="left" vertical="center"/>
      <protection locked="0"/>
    </xf>
    <xf numFmtId="0" fontId="15" fillId="0" borderId="112" xfId="0" applyFont="1" applyFill="1" applyBorder="1" applyAlignment="1" applyProtection="1">
      <alignment vertical="center"/>
      <protection locked="0"/>
    </xf>
    <xf numFmtId="56" fontId="15" fillId="0" borderId="113" xfId="0" applyNumberFormat="1" applyFont="1" applyBorder="1" applyAlignment="1" applyProtection="1">
      <alignment horizontal="left" vertical="center" shrinkToFit="1"/>
      <protection locked="0"/>
    </xf>
    <xf numFmtId="0" fontId="15" fillId="0" borderId="114" xfId="0" applyFont="1" applyBorder="1" applyAlignment="1" applyProtection="1">
      <alignment horizontal="left" vertical="center" shrinkToFit="1"/>
      <protection locked="0"/>
    </xf>
    <xf numFmtId="0" fontId="15" fillId="0" borderId="115" xfId="0" applyFont="1" applyBorder="1" applyAlignment="1" applyProtection="1">
      <alignment horizontal="left" vertical="center" shrinkToFit="1"/>
      <protection locked="0"/>
    </xf>
    <xf numFmtId="0" fontId="15" fillId="0" borderId="112" xfId="0" applyFont="1" applyBorder="1" applyAlignment="1" applyProtection="1">
      <alignment horizontal="left" vertical="center" shrinkToFit="1"/>
      <protection locked="0"/>
    </xf>
    <xf numFmtId="0" fontId="15" fillId="0" borderId="113" xfId="0" applyFont="1" applyBorder="1" applyAlignment="1" applyProtection="1">
      <alignment horizontal="left" vertical="center" shrinkToFit="1"/>
      <protection locked="0"/>
    </xf>
    <xf numFmtId="0" fontId="27" fillId="0" borderId="0" xfId="0" applyFont="1" applyAlignment="1" applyProtection="1">
      <alignment horizontal="left" vertical="center"/>
    </xf>
    <xf numFmtId="49" fontId="15" fillId="0" borderId="113" xfId="0" applyNumberFormat="1" applyFont="1" applyBorder="1" applyAlignment="1" applyProtection="1">
      <alignment horizontal="left" vertical="center" shrinkToFit="1"/>
      <protection locked="0"/>
    </xf>
    <xf numFmtId="49" fontId="15" fillId="0" borderId="114" xfId="0" applyNumberFormat="1" applyFont="1" applyBorder="1" applyAlignment="1" applyProtection="1">
      <alignment horizontal="left" vertical="center" shrinkToFit="1"/>
      <protection locked="0"/>
    </xf>
    <xf numFmtId="49" fontId="15" fillId="0" borderId="115" xfId="0" applyNumberFormat="1" applyFont="1" applyBorder="1" applyAlignment="1" applyProtection="1">
      <alignment horizontal="left" vertical="center" shrinkToFit="1"/>
      <protection locked="0"/>
    </xf>
    <xf numFmtId="49" fontId="15" fillId="0" borderId="112" xfId="0" applyNumberFormat="1" applyFont="1" applyBorder="1" applyAlignment="1" applyProtection="1">
      <alignment horizontal="left" vertical="center" shrinkToFit="1"/>
      <protection locked="0"/>
    </xf>
    <xf numFmtId="0" fontId="15" fillId="0" borderId="6" xfId="0" applyFont="1" applyFill="1" applyBorder="1" applyAlignment="1" applyProtection="1">
      <alignment horizontal="right" vertical="center"/>
    </xf>
    <xf numFmtId="0" fontId="45" fillId="0" borderId="0" xfId="0" applyFont="1" applyBorder="1" applyAlignment="1" applyProtection="1">
      <alignment horizontal="left" vertical="center"/>
    </xf>
    <xf numFmtId="178" fontId="15" fillId="0" borderId="94" xfId="0" applyNumberFormat="1" applyFont="1" applyBorder="1" applyAlignment="1" applyProtection="1">
      <alignment horizontal="center" vertical="center" wrapText="1" shrinkToFit="1"/>
    </xf>
    <xf numFmtId="178" fontId="15" fillId="0" borderId="95" xfId="0" applyNumberFormat="1" applyFont="1" applyBorder="1" applyAlignment="1" applyProtection="1">
      <alignment horizontal="center" vertical="center" wrapText="1" shrinkToFit="1"/>
    </xf>
    <xf numFmtId="178" fontId="15" fillId="0" borderId="116" xfId="0" applyNumberFormat="1" applyFont="1" applyBorder="1" applyAlignment="1" applyProtection="1">
      <alignment horizontal="center" vertical="center" wrapText="1"/>
    </xf>
    <xf numFmtId="0" fontId="46" fillId="0" borderId="0" xfId="0" applyFont="1" applyBorder="1" applyAlignment="1" applyProtection="1">
      <alignment horizontal="left" vertical="center"/>
    </xf>
    <xf numFmtId="0" fontId="15" fillId="0" borderId="117" xfId="0" applyFont="1" applyBorder="1" applyAlignment="1" applyProtection="1">
      <alignment horizontal="center" vertical="center" wrapText="1" shrinkToFit="1"/>
    </xf>
    <xf numFmtId="0" fontId="15" fillId="0" borderId="118" xfId="0" applyFont="1" applyBorder="1" applyAlignment="1" applyProtection="1">
      <alignment horizontal="center" vertical="center" wrapText="1" shrinkToFit="1"/>
    </xf>
    <xf numFmtId="0" fontId="15" fillId="0" borderId="119" xfId="0" applyFont="1" applyBorder="1" applyAlignment="1" applyProtection="1">
      <alignment horizontal="center" vertical="center"/>
    </xf>
    <xf numFmtId="0" fontId="15" fillId="0" borderId="120" xfId="0" applyFont="1" applyBorder="1" applyAlignment="1" applyProtection="1">
      <alignment horizontal="center" vertical="center"/>
    </xf>
    <xf numFmtId="0" fontId="47" fillId="0" borderId="0" xfId="0" applyFont="1" applyAlignment="1" applyProtection="1">
      <alignment vertical="center"/>
    </xf>
    <xf numFmtId="0" fontId="15" fillId="0" borderId="121" xfId="0" applyFont="1" applyBorder="1" applyAlignment="1" applyProtection="1">
      <alignment horizontal="left" vertical="center" shrinkToFit="1"/>
    </xf>
    <xf numFmtId="0" fontId="47" fillId="0" borderId="0" xfId="0" applyFont="1" applyBorder="1" applyAlignment="1" applyProtection="1">
      <alignment horizontal="left" vertical="center"/>
    </xf>
    <xf numFmtId="0" fontId="15" fillId="0" borderId="101" xfId="0" applyFont="1" applyBorder="1" applyAlignment="1" applyProtection="1">
      <alignment horizontal="left" vertical="center"/>
      <protection locked="0"/>
    </xf>
    <xf numFmtId="179" fontId="15" fillId="0" borderId="122" xfId="11" applyNumberFormat="1" applyFont="1" applyBorder="1" applyAlignment="1" applyProtection="1">
      <alignment horizontal="right" vertical="center" shrinkToFit="1"/>
      <protection locked="0"/>
    </xf>
    <xf numFmtId="0" fontId="15" fillId="0" borderId="110" xfId="0" applyFont="1" applyBorder="1" applyAlignment="1" applyProtection="1">
      <alignment horizontal="center" vertical="center"/>
      <protection locked="0"/>
    </xf>
    <xf numFmtId="49" fontId="15" fillId="0" borderId="123" xfId="0" applyNumberFormat="1" applyFont="1" applyBorder="1" applyAlignment="1" applyProtection="1">
      <alignment horizontal="left" vertical="center" shrinkToFit="1"/>
      <protection locked="0"/>
    </xf>
    <xf numFmtId="6" fontId="15" fillId="0" borderId="0" xfId="0" applyNumberFormat="1" applyFont="1" applyAlignment="1" applyProtection="1">
      <alignment vertical="center"/>
    </xf>
    <xf numFmtId="6" fontId="15" fillId="0" borderId="0" xfId="0" applyNumberFormat="1" applyFont="1" applyAlignment="1" applyProtection="1">
      <alignment vertical="center" wrapText="1"/>
    </xf>
    <xf numFmtId="0" fontId="48" fillId="0" borderId="92" xfId="0" applyFont="1" applyFill="1" applyBorder="1" applyAlignment="1" applyProtection="1">
      <alignment horizontal="right" vertical="center"/>
    </xf>
    <xf numFmtId="0" fontId="6" fillId="0" borderId="124" xfId="0" applyNumberFormat="1" applyFont="1" applyBorder="1" applyAlignment="1" applyProtection="1">
      <alignment horizontal="right" vertical="center"/>
    </xf>
    <xf numFmtId="0" fontId="48" fillId="0" borderId="125" xfId="0" applyNumberFormat="1" applyFont="1" applyBorder="1" applyAlignment="1" applyProtection="1">
      <alignment horizontal="right" vertical="center"/>
    </xf>
    <xf numFmtId="0" fontId="48" fillId="0" borderId="126" xfId="0" applyNumberFormat="1" applyFont="1" applyBorder="1" applyAlignment="1" applyProtection="1">
      <alignment horizontal="right" vertical="center"/>
    </xf>
    <xf numFmtId="0" fontId="48" fillId="0" borderId="93" xfId="0" applyNumberFormat="1" applyFont="1" applyFill="1" applyBorder="1" applyAlignment="1" applyProtection="1">
      <alignment horizontal="right" vertical="center"/>
    </xf>
    <xf numFmtId="0" fontId="48" fillId="0" borderId="97" xfId="0" applyNumberFormat="1" applyFont="1" applyBorder="1" applyAlignment="1" applyProtection="1">
      <alignment horizontal="right" vertical="center"/>
    </xf>
    <xf numFmtId="178" fontId="48" fillId="0" borderId="125" xfId="0" applyNumberFormat="1" applyFont="1" applyBorder="1" applyAlignment="1" applyProtection="1">
      <alignment horizontal="right" vertical="center" wrapText="1" shrinkToFit="1"/>
    </xf>
    <xf numFmtId="0" fontId="48" fillId="0" borderId="126" xfId="0" applyNumberFormat="1" applyFont="1" applyBorder="1" applyAlignment="1" applyProtection="1">
      <alignment horizontal="right" vertical="center" wrapText="1" shrinkToFit="1"/>
    </xf>
    <xf numFmtId="178" fontId="15" fillId="0" borderId="127" xfId="0" applyNumberFormat="1" applyFont="1" applyBorder="1" applyAlignment="1" applyProtection="1">
      <alignment horizontal="right" vertical="center"/>
    </xf>
    <xf numFmtId="178" fontId="15" fillId="0" borderId="124" xfId="0" applyNumberFormat="1" applyFont="1" applyBorder="1" applyAlignment="1" applyProtection="1">
      <alignment horizontal="right" vertical="center"/>
    </xf>
    <xf numFmtId="178" fontId="15" fillId="0" borderId="93" xfId="0" applyNumberFormat="1" applyFont="1" applyBorder="1" applyAlignment="1" applyProtection="1">
      <alignment horizontal="right" vertical="center"/>
    </xf>
    <xf numFmtId="0" fontId="6" fillId="0" borderId="88"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48" fillId="0" borderId="128" xfId="0" applyNumberFormat="1" applyFont="1" applyBorder="1" applyAlignment="1" applyProtection="1">
      <alignment horizontal="right" vertical="center" shrinkToFit="1"/>
    </xf>
    <xf numFmtId="0" fontId="48" fillId="0" borderId="129" xfId="0" applyNumberFormat="1" applyFont="1" applyBorder="1" applyAlignment="1" applyProtection="1">
      <alignment horizontal="right" vertical="center" shrinkToFit="1"/>
    </xf>
    <xf numFmtId="0" fontId="48" fillId="0" borderId="130" xfId="0" applyNumberFormat="1" applyFont="1" applyFill="1" applyBorder="1" applyAlignment="1" applyProtection="1">
      <alignment horizontal="right" vertical="center" shrinkToFit="1"/>
    </xf>
    <xf numFmtId="0" fontId="48" fillId="0" borderId="0" xfId="0" applyNumberFormat="1" applyFont="1" applyBorder="1" applyAlignment="1" applyProtection="1">
      <alignment horizontal="right" vertical="center" shrinkToFit="1"/>
    </xf>
    <xf numFmtId="0" fontId="48" fillId="0" borderId="103" xfId="0" applyNumberFormat="1" applyFont="1" applyBorder="1" applyAlignment="1" applyProtection="1">
      <alignment horizontal="right" vertical="center" shrinkToFit="1"/>
    </xf>
    <xf numFmtId="0" fontId="48" fillId="0" borderId="131" xfId="0" applyNumberFormat="1" applyFont="1" applyFill="1" applyBorder="1" applyAlignment="1" applyProtection="1">
      <alignment horizontal="right" vertical="center" shrinkToFit="1"/>
    </xf>
    <xf numFmtId="0" fontId="48" fillId="0" borderId="132" xfId="0" applyNumberFormat="1" applyFont="1" applyFill="1" applyBorder="1" applyAlignment="1" applyProtection="1">
      <alignment horizontal="right" vertical="center" shrinkToFit="1"/>
    </xf>
    <xf numFmtId="0" fontId="48" fillId="0" borderId="106" xfId="0" applyNumberFormat="1" applyFont="1" applyFill="1" applyBorder="1" applyAlignment="1" applyProtection="1">
      <alignment horizontal="right" vertical="center" shrinkToFit="1"/>
    </xf>
    <xf numFmtId="179" fontId="48" fillId="0" borderId="105" xfId="0" applyNumberFormat="1" applyFont="1" applyFill="1" applyBorder="1" applyAlignment="1" applyProtection="1">
      <alignment horizontal="right" vertical="center" shrinkToFit="1"/>
    </xf>
    <xf numFmtId="179" fontId="48" fillId="0" borderId="132" xfId="0" applyNumberFormat="1" applyFont="1" applyBorder="1" applyAlignment="1" applyProtection="1">
      <alignment horizontal="right" vertical="center" shrinkToFit="1"/>
    </xf>
    <xf numFmtId="179" fontId="48" fillId="0" borderId="131" xfId="0" applyNumberFormat="1" applyFont="1" applyBorder="1" applyAlignment="1" applyProtection="1">
      <alignment horizontal="right" vertical="center" shrinkToFit="1"/>
    </xf>
    <xf numFmtId="179" fontId="48" fillId="0" borderId="106" xfId="0" applyNumberFormat="1" applyFont="1" applyFill="1" applyBorder="1" applyAlignment="1" applyProtection="1">
      <alignment horizontal="right" vertical="center" shrinkToFit="1"/>
    </xf>
    <xf numFmtId="179" fontId="15" fillId="0" borderId="133" xfId="0" applyNumberFormat="1" applyFont="1" applyBorder="1" applyAlignment="1" applyProtection="1">
      <alignment horizontal="right" vertical="center"/>
    </xf>
    <xf numFmtId="179" fontId="15" fillId="0" borderId="134" xfId="0" applyNumberFormat="1" applyFont="1" applyBorder="1" applyAlignment="1" applyProtection="1">
      <alignment horizontal="right" vertical="center"/>
    </xf>
    <xf numFmtId="179" fontId="15" fillId="0" borderId="112" xfId="0" applyNumberFormat="1" applyFont="1" applyBorder="1" applyAlignment="1" applyProtection="1">
      <alignment horizontal="right" vertical="center"/>
    </xf>
    <xf numFmtId="179" fontId="48" fillId="0" borderId="0" xfId="0" applyNumberFormat="1" applyFont="1" applyFill="1" applyBorder="1" applyAlignment="1" applyProtection="1">
      <alignment horizontal="right" vertical="center" shrinkToFit="1"/>
    </xf>
    <xf numFmtId="0" fontId="44" fillId="0" borderId="0" xfId="0" applyFont="1" applyFill="1"/>
    <xf numFmtId="38" fontId="44" fillId="0" borderId="0" xfId="11" applyFont="1" applyFill="1"/>
    <xf numFmtId="0" fontId="9" fillId="0" borderId="0" xfId="0" applyFont="1" applyFill="1" applyAlignment="1">
      <alignment horizontal="right" vertical="center"/>
    </xf>
    <xf numFmtId="0" fontId="44" fillId="0" borderId="1" xfId="0" applyFont="1" applyFill="1" applyBorder="1"/>
    <xf numFmtId="0" fontId="44" fillId="0" borderId="1" xfId="0" applyFont="1" applyFill="1" applyBorder="1" applyAlignment="1">
      <alignment horizontal="center" vertical="center"/>
    </xf>
    <xf numFmtId="0" fontId="44" fillId="0" borderId="135" xfId="0" applyFont="1" applyFill="1" applyBorder="1" applyAlignment="1">
      <alignment horizontal="center" vertical="center" textRotation="255"/>
    </xf>
    <xf numFmtId="0" fontId="44" fillId="0" borderId="136" xfId="0" applyFont="1" applyFill="1" applyBorder="1" applyAlignment="1">
      <alignment horizontal="center" vertical="center" textRotation="255"/>
    </xf>
    <xf numFmtId="0" fontId="6" fillId="0" borderId="67" xfId="0" applyFont="1" applyFill="1" applyBorder="1" applyAlignment="1">
      <alignment vertical="center"/>
    </xf>
    <xf numFmtId="0" fontId="49" fillId="0" borderId="0" xfId="0" applyFont="1" applyFill="1" applyBorder="1" applyAlignment="1">
      <alignment horizontal="right" vertical="center"/>
    </xf>
    <xf numFmtId="0" fontId="6" fillId="0" borderId="137" xfId="0" applyFont="1" applyFill="1" applyBorder="1" applyAlignment="1">
      <alignment horizontal="center" vertical="center"/>
    </xf>
    <xf numFmtId="0" fontId="6" fillId="0" borderId="88" xfId="0" applyFont="1" applyFill="1" applyBorder="1" applyAlignment="1">
      <alignment horizontal="center" vertical="center"/>
    </xf>
    <xf numFmtId="0" fontId="44" fillId="0" borderId="138" xfId="0" applyFont="1" applyFill="1" applyBorder="1" applyAlignment="1">
      <alignment horizontal="center" vertical="center"/>
    </xf>
    <xf numFmtId="0" fontId="44" fillId="0" borderId="139" xfId="0" applyFont="1" applyFill="1" applyBorder="1" applyAlignment="1">
      <alignment horizontal="center" vertical="center"/>
    </xf>
    <xf numFmtId="0" fontId="44" fillId="0" borderId="140" xfId="0" applyFont="1" applyFill="1" applyBorder="1" applyAlignment="1">
      <alignment horizontal="center" vertical="center"/>
    </xf>
    <xf numFmtId="0" fontId="44" fillId="0" borderId="141" xfId="0" applyFont="1" applyFill="1" applyBorder="1" applyAlignment="1">
      <alignment horizontal="center" vertical="center"/>
    </xf>
    <xf numFmtId="0" fontId="44"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4" fillId="0" borderId="22" xfId="0" applyFont="1" applyFill="1" applyBorder="1"/>
    <xf numFmtId="0" fontId="44" fillId="0" borderId="22" xfId="0" applyFont="1" applyFill="1" applyBorder="1" applyAlignment="1">
      <alignment horizontal="center" vertical="center"/>
    </xf>
    <xf numFmtId="0" fontId="6" fillId="0" borderId="142" xfId="0" applyFont="1" applyFill="1" applyBorder="1" applyAlignment="1">
      <alignment vertical="center"/>
    </xf>
    <xf numFmtId="0" fontId="6" fillId="0" borderId="143" xfId="0" applyFont="1" applyFill="1" applyBorder="1" applyAlignment="1">
      <alignment vertical="center" shrinkToFit="1"/>
    </xf>
    <xf numFmtId="0" fontId="6" fillId="0" borderId="144"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145" xfId="0" applyFont="1" applyFill="1" applyBorder="1" applyAlignment="1">
      <alignment horizontal="left" vertical="center" shrinkToFit="1"/>
    </xf>
    <xf numFmtId="0" fontId="6" fillId="0" borderId="101" xfId="0" applyFont="1" applyFill="1" applyBorder="1" applyAlignment="1">
      <alignment horizontal="left" vertical="center" shrinkToFit="1"/>
    </xf>
    <xf numFmtId="0" fontId="6" fillId="0" borderId="121" xfId="0" applyFont="1" applyFill="1" applyBorder="1" applyAlignment="1">
      <alignment horizontal="left" vertical="center" shrinkToFit="1"/>
    </xf>
    <xf numFmtId="0" fontId="6" fillId="0" borderId="102"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22" xfId="0" applyFont="1" applyFill="1" applyBorder="1" applyAlignment="1">
      <alignment horizontal="center" vertical="center"/>
    </xf>
    <xf numFmtId="0" fontId="50" fillId="0" borderId="0" xfId="0" applyFont="1" applyFill="1"/>
    <xf numFmtId="0" fontId="9" fillId="0" borderId="0" xfId="0" applyFont="1" applyFill="1" applyAlignment="1">
      <alignment horizontal="center" vertical="center"/>
    </xf>
    <xf numFmtId="38" fontId="6" fillId="0" borderId="1" xfId="11" applyFont="1" applyFill="1" applyBorder="1" applyAlignment="1">
      <alignment horizontal="center"/>
    </xf>
    <xf numFmtId="38" fontId="6" fillId="0" borderId="137" xfId="11" applyFont="1" applyFill="1" applyBorder="1" applyAlignment="1">
      <alignment horizontal="center"/>
    </xf>
    <xf numFmtId="0" fontId="6" fillId="0" borderId="145" xfId="0" applyFont="1" applyFill="1" applyBorder="1" applyAlignment="1">
      <alignment vertical="center"/>
    </xf>
    <xf numFmtId="0" fontId="6" fillId="0" borderId="88" xfId="0" applyFont="1" applyFill="1" applyBorder="1" applyAlignment="1">
      <alignment vertical="center"/>
    </xf>
    <xf numFmtId="0" fontId="49" fillId="0" borderId="0" xfId="0" applyFont="1" applyFill="1" applyBorder="1" applyAlignment="1">
      <alignment vertical="center"/>
    </xf>
    <xf numFmtId="38" fontId="6" fillId="0" borderId="137" xfId="11" applyFont="1" applyFill="1" applyBorder="1" applyAlignment="1">
      <alignment horizontal="center" vertical="center"/>
    </xf>
    <xf numFmtId="38" fontId="6" fillId="0" borderId="88" xfId="11" applyFont="1" applyFill="1" applyBorder="1" applyAlignment="1">
      <alignment horizontal="center" vertical="center"/>
    </xf>
    <xf numFmtId="0" fontId="6" fillId="0" borderId="145" xfId="0" applyFont="1" applyFill="1" applyBorder="1" applyAlignment="1" applyProtection="1">
      <alignment horizontal="left" vertical="center" shrinkToFit="1"/>
    </xf>
    <xf numFmtId="0" fontId="6" fillId="0" borderId="101" xfId="0" applyFont="1" applyFill="1" applyBorder="1" applyAlignment="1" applyProtection="1">
      <alignment horizontal="left" vertical="center" shrinkToFit="1"/>
    </xf>
    <xf numFmtId="0" fontId="6" fillId="0" borderId="121" xfId="0" applyFont="1" applyFill="1" applyBorder="1" applyAlignment="1" applyProtection="1">
      <alignment horizontal="left" vertical="center" shrinkToFit="1"/>
    </xf>
    <xf numFmtId="0" fontId="6" fillId="0" borderId="102" xfId="0" applyFont="1" applyFill="1" applyBorder="1" applyAlignment="1" applyProtection="1">
      <alignment horizontal="left" vertical="center" shrinkToFit="1"/>
    </xf>
    <xf numFmtId="0" fontId="6" fillId="0" borderId="1" xfId="0" applyFont="1" applyFill="1" applyBorder="1" applyAlignment="1" applyProtection="1">
      <alignment horizontal="left" vertical="center" shrinkToFit="1"/>
    </xf>
    <xf numFmtId="0" fontId="6" fillId="0" borderId="6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44" fillId="0" borderId="64" xfId="0" applyFont="1" applyFill="1" applyBorder="1"/>
    <xf numFmtId="0" fontId="9" fillId="0" borderId="0" xfId="0" applyFont="1" applyFill="1" applyAlignment="1">
      <alignment horizontal="left" vertical="center"/>
    </xf>
    <xf numFmtId="38" fontId="6" fillId="0" borderId="22" xfId="11" applyFont="1" applyFill="1" applyBorder="1" applyAlignment="1">
      <alignment horizontal="center"/>
    </xf>
    <xf numFmtId="38" fontId="6" fillId="0" borderId="144" xfId="11" applyFont="1" applyFill="1" applyBorder="1" applyAlignment="1">
      <alignment horizontal="right" vertical="center" shrinkToFit="1"/>
    </xf>
    <xf numFmtId="38" fontId="48" fillId="0" borderId="146" xfId="11" applyFont="1" applyFill="1" applyBorder="1" applyAlignment="1">
      <alignment horizontal="right" vertical="center" shrinkToFit="1"/>
    </xf>
    <xf numFmtId="38" fontId="48" fillId="0" borderId="89" xfId="11" applyFont="1" applyFill="1" applyBorder="1" applyAlignment="1">
      <alignment horizontal="right" vertical="center" shrinkToFit="1"/>
    </xf>
    <xf numFmtId="38" fontId="48" fillId="0" borderId="67" xfId="11" applyFont="1" applyFill="1" applyBorder="1" applyAlignment="1">
      <alignment horizontal="right" vertical="center"/>
    </xf>
    <xf numFmtId="38" fontId="51" fillId="0" borderId="0" xfId="11" applyFont="1" applyFill="1" applyBorder="1" applyAlignment="1">
      <alignment horizontal="right" vertical="center" shrinkToFit="1"/>
    </xf>
    <xf numFmtId="38" fontId="44" fillId="0" borderId="0" xfId="11" applyFont="1" applyFill="1" applyBorder="1"/>
    <xf numFmtId="38" fontId="6" fillId="0" borderId="144" xfId="11" applyFont="1" applyFill="1" applyBorder="1" applyAlignment="1">
      <alignment horizontal="center" vertical="center"/>
    </xf>
    <xf numFmtId="38" fontId="6" fillId="0" borderId="89" xfId="11" applyFont="1" applyFill="1" applyBorder="1" applyAlignment="1">
      <alignment horizontal="center" vertical="center"/>
    </xf>
    <xf numFmtId="38" fontId="48" fillId="0" borderId="28" xfId="11" applyFont="1" applyFill="1" applyBorder="1" applyAlignment="1" applyProtection="1">
      <alignment horizontal="right" vertical="center" shrinkToFit="1"/>
    </xf>
    <xf numFmtId="38" fontId="48" fillId="0" borderId="29" xfId="11" applyFont="1" applyFill="1" applyBorder="1" applyAlignment="1" applyProtection="1">
      <alignment horizontal="right" vertical="center" shrinkToFit="1"/>
    </xf>
    <xf numFmtId="38" fontId="48" fillId="0" borderId="147" xfId="11" applyFont="1" applyBorder="1" applyAlignment="1" applyProtection="1">
      <alignment horizontal="right" vertical="center" shrinkToFit="1"/>
    </xf>
    <xf numFmtId="38" fontId="48" fillId="0" borderId="0" xfId="11" applyFont="1" applyFill="1" applyBorder="1" applyAlignment="1" applyProtection="1">
      <alignment horizontal="right" vertical="center" shrinkToFit="1"/>
    </xf>
    <xf numFmtId="38" fontId="48" fillId="0" borderId="30" xfId="11" applyFont="1" applyFill="1" applyBorder="1" applyAlignment="1" applyProtection="1">
      <alignment horizontal="right" vertical="center" shrinkToFit="1"/>
    </xf>
    <xf numFmtId="3" fontId="48" fillId="0" borderId="64" xfId="11" applyNumberFormat="1" applyFont="1" applyFill="1" applyBorder="1" applyAlignment="1" applyProtection="1">
      <alignment horizontal="right" vertical="center" shrinkToFit="1"/>
    </xf>
    <xf numFmtId="38" fontId="48" fillId="0" borderId="64" xfId="11" applyFont="1" applyFill="1" applyBorder="1" applyAlignment="1" applyProtection="1">
      <alignment horizontal="right" vertical="center" shrinkToFit="1"/>
    </xf>
    <xf numFmtId="38" fontId="48" fillId="0" borderId="144" xfId="11" applyFont="1" applyFill="1" applyBorder="1" applyAlignment="1" applyProtection="1">
      <alignment horizontal="right" vertical="center" shrinkToFit="1"/>
    </xf>
    <xf numFmtId="38" fontId="48" fillId="0" borderId="89" xfId="11" applyFont="1" applyFill="1" applyBorder="1" applyAlignment="1" applyProtection="1">
      <alignment horizontal="right" vertical="center" shrinkToFit="1"/>
    </xf>
    <xf numFmtId="38" fontId="6" fillId="0" borderId="22" xfId="0" applyNumberFormat="1" applyFont="1" applyFill="1" applyBorder="1" applyAlignment="1" applyProtection="1">
      <alignment vertical="center" shrinkToFit="1"/>
    </xf>
    <xf numFmtId="38" fontId="44" fillId="0" borderId="0" xfId="11" applyFont="1" applyFill="1" applyAlignment="1">
      <alignment horizontal="right"/>
    </xf>
    <xf numFmtId="0" fontId="6" fillId="0" borderId="1" xfId="0" applyFont="1" applyFill="1" applyBorder="1" applyAlignment="1">
      <alignment horizontal="center"/>
    </xf>
    <xf numFmtId="0" fontId="6" fillId="0" borderId="137" xfId="0" applyFont="1" applyFill="1" applyBorder="1" applyAlignment="1">
      <alignment horizontal="center"/>
    </xf>
    <xf numFmtId="38" fontId="44" fillId="0" borderId="145" xfId="11" applyFont="1" applyFill="1" applyBorder="1" applyAlignment="1">
      <alignment vertical="center"/>
    </xf>
    <xf numFmtId="38" fontId="44" fillId="0" borderId="88" xfId="11" applyFont="1" applyFill="1" applyBorder="1" applyAlignment="1">
      <alignment vertical="center"/>
    </xf>
    <xf numFmtId="38" fontId="44" fillId="0" borderId="67" xfId="11" applyFont="1" applyFill="1" applyBorder="1" applyAlignment="1">
      <alignment vertical="center"/>
    </xf>
    <xf numFmtId="38" fontId="44" fillId="0" borderId="0" xfId="11" applyFont="1" applyFill="1" applyBorder="1" applyAlignment="1">
      <alignment vertical="center"/>
    </xf>
    <xf numFmtId="38" fontId="48" fillId="0" borderId="145" xfId="11" applyFont="1" applyFill="1" applyBorder="1" applyAlignment="1" applyProtection="1">
      <alignment horizontal="right" vertical="center"/>
      <protection locked="0"/>
    </xf>
    <xf numFmtId="38" fontId="48" fillId="0" borderId="101" xfId="11" applyFont="1" applyFill="1" applyBorder="1" applyAlignment="1" applyProtection="1">
      <alignment horizontal="right" vertical="center"/>
      <protection locked="0"/>
    </xf>
    <xf numFmtId="38" fontId="48" fillId="0" borderId="78" xfId="11" applyFont="1" applyFill="1" applyBorder="1" applyAlignment="1" applyProtection="1">
      <alignment horizontal="right" vertical="center"/>
      <protection locked="0"/>
    </xf>
    <xf numFmtId="38" fontId="48" fillId="0" borderId="121" xfId="11" applyFont="1" applyFill="1" applyBorder="1" applyAlignment="1" applyProtection="1">
      <alignment horizontal="right" vertical="center"/>
      <protection locked="0"/>
    </xf>
    <xf numFmtId="38" fontId="48" fillId="0" borderId="102" xfId="11" applyFont="1" applyFill="1" applyBorder="1" applyAlignment="1" applyProtection="1">
      <alignment horizontal="right" vertical="center"/>
      <protection locked="0"/>
    </xf>
    <xf numFmtId="38" fontId="48" fillId="0" borderId="1" xfId="11" applyFont="1" applyFill="1" applyBorder="1" applyAlignment="1" applyProtection="1">
      <alignment horizontal="right" vertical="center"/>
      <protection locked="0"/>
    </xf>
    <xf numFmtId="38" fontId="52" fillId="0" borderId="137" xfId="11" applyFont="1" applyFill="1" applyBorder="1" applyAlignment="1" applyProtection="1">
      <alignment horizontal="left" vertical="center"/>
      <protection locked="0"/>
    </xf>
    <xf numFmtId="38" fontId="52" fillId="0" borderId="88" xfId="11" applyFont="1" applyFill="1" applyBorder="1" applyAlignment="1" applyProtection="1">
      <alignment horizontal="left" vertical="center"/>
      <protection locked="0"/>
    </xf>
    <xf numFmtId="38" fontId="44" fillId="0" borderId="148" xfId="11" applyFont="1" applyFill="1" applyBorder="1" applyAlignment="1" applyProtection="1">
      <alignment horizontal="right" vertical="center"/>
    </xf>
    <xf numFmtId="38" fontId="44" fillId="0" borderId="1" xfId="11" applyFont="1" applyFill="1" applyBorder="1" applyAlignment="1">
      <alignment vertical="center" shrinkToFit="1"/>
    </xf>
    <xf numFmtId="0" fontId="9" fillId="0" borderId="0" xfId="0" applyFont="1" applyFill="1" applyBorder="1" applyAlignment="1">
      <alignment horizontal="center"/>
    </xf>
    <xf numFmtId="0" fontId="9" fillId="0" borderId="6" xfId="0" applyFont="1" applyFill="1" applyBorder="1" applyAlignment="1">
      <alignment horizontal="center"/>
    </xf>
    <xf numFmtId="0" fontId="6" fillId="0" borderId="64" xfId="0" applyFont="1" applyFill="1" applyBorder="1" applyAlignment="1">
      <alignment horizontal="center"/>
    </xf>
    <xf numFmtId="0" fontId="6" fillId="0" borderId="67" xfId="0" applyFont="1" applyFill="1" applyBorder="1" applyAlignment="1">
      <alignment horizontal="center"/>
    </xf>
    <xf numFmtId="38" fontId="44" fillId="0" borderId="28" xfId="11" applyFont="1" applyFill="1" applyBorder="1" applyAlignment="1">
      <alignment vertical="center"/>
    </xf>
    <xf numFmtId="38" fontId="44" fillId="0" borderId="6" xfId="11" applyFont="1" applyFill="1" applyBorder="1" applyAlignment="1">
      <alignment vertical="center"/>
    </xf>
    <xf numFmtId="0" fontId="6" fillId="0" borderId="67" xfId="0" applyFont="1" applyFill="1" applyBorder="1" applyAlignment="1">
      <alignment horizontal="center" vertical="center"/>
    </xf>
    <xf numFmtId="0" fontId="6" fillId="0" borderId="6" xfId="0" applyFont="1" applyFill="1" applyBorder="1" applyAlignment="1">
      <alignment horizontal="center" vertical="center"/>
    </xf>
    <xf numFmtId="38" fontId="48" fillId="0" borderId="28" xfId="11" applyFont="1" applyFill="1" applyBorder="1" applyAlignment="1" applyProtection="1">
      <alignment horizontal="right" vertical="center"/>
      <protection locked="0"/>
    </xf>
    <xf numFmtId="38" fontId="48" fillId="0" borderId="29" xfId="11" applyFont="1" applyFill="1" applyBorder="1" applyAlignment="1" applyProtection="1">
      <alignment horizontal="right" vertical="center"/>
      <protection locked="0"/>
    </xf>
    <xf numFmtId="38" fontId="48" fillId="0" borderId="30" xfId="11" applyFont="1" applyFill="1" applyBorder="1" applyAlignment="1" applyProtection="1">
      <alignment horizontal="right" vertical="center"/>
      <protection locked="0"/>
    </xf>
    <xf numFmtId="38" fontId="48" fillId="0" borderId="64" xfId="11" applyFont="1" applyFill="1" applyBorder="1" applyAlignment="1" applyProtection="1">
      <alignment horizontal="right" vertical="center"/>
      <protection locked="0"/>
    </xf>
    <xf numFmtId="38" fontId="52" fillId="0" borderId="67" xfId="11" applyFont="1" applyFill="1" applyBorder="1" applyAlignment="1" applyProtection="1">
      <alignment horizontal="left" vertical="center"/>
      <protection locked="0"/>
    </xf>
    <xf numFmtId="38" fontId="52" fillId="0" borderId="6" xfId="11" applyFont="1" applyFill="1" applyBorder="1" applyAlignment="1" applyProtection="1">
      <alignment horizontal="left" vertical="center"/>
      <protection locked="0"/>
    </xf>
    <xf numFmtId="0" fontId="44" fillId="0" borderId="69" xfId="0" applyFont="1" applyFill="1" applyBorder="1" applyAlignment="1" applyProtection="1">
      <alignment horizontal="center" vertical="center" shrinkToFit="1"/>
    </xf>
    <xf numFmtId="38" fontId="44" fillId="0" borderId="64" xfId="11" applyFont="1" applyFill="1" applyBorder="1" applyAlignment="1">
      <alignment vertical="center" shrinkToFit="1"/>
    </xf>
    <xf numFmtId="0" fontId="44" fillId="0" borderId="64" xfId="0" applyFont="1" applyFill="1" applyBorder="1" applyAlignment="1" applyProtection="1">
      <alignment horizontal="center" vertical="center" shrinkToFit="1"/>
    </xf>
    <xf numFmtId="38" fontId="44" fillId="0" borderId="64" xfId="11" applyFont="1" applyFill="1" applyBorder="1" applyAlignment="1">
      <alignment vertical="center"/>
    </xf>
    <xf numFmtId="176" fontId="6" fillId="0" borderId="64" xfId="0" applyNumberFormat="1" applyFont="1" applyFill="1" applyBorder="1" applyAlignment="1" applyProtection="1">
      <alignment vertical="center" shrinkToFit="1"/>
    </xf>
    <xf numFmtId="38" fontId="50" fillId="0" borderId="0" xfId="11" applyFont="1" applyFill="1" applyAlignment="1">
      <alignment horizontal="right"/>
    </xf>
    <xf numFmtId="0" fontId="44" fillId="0" borderId="6" xfId="0" applyFont="1" applyFill="1" applyBorder="1" applyAlignment="1">
      <alignment horizontal="right"/>
    </xf>
    <xf numFmtId="0" fontId="53" fillId="0" borderId="6" xfId="0" applyFont="1" applyFill="1" applyBorder="1" applyAlignment="1">
      <alignment horizontal="center" vertical="center"/>
    </xf>
    <xf numFmtId="0" fontId="6" fillId="0" borderId="22" xfId="0" applyFont="1" applyFill="1" applyBorder="1" applyAlignment="1">
      <alignment horizontal="center"/>
    </xf>
    <xf numFmtId="0" fontId="6" fillId="0" borderId="144" xfId="0" applyFont="1" applyFill="1" applyBorder="1" applyAlignment="1">
      <alignment horizontal="center"/>
    </xf>
    <xf numFmtId="38" fontId="44" fillId="0" borderId="146" xfId="11" applyFont="1" applyFill="1" applyBorder="1" applyAlignment="1">
      <alignment vertical="center"/>
    </xf>
    <xf numFmtId="38" fontId="44" fillId="0" borderId="89" xfId="11" applyFont="1" applyFill="1" applyBorder="1" applyAlignment="1">
      <alignment vertical="center"/>
    </xf>
    <xf numFmtId="38" fontId="48" fillId="0" borderId="146" xfId="11" applyFont="1" applyFill="1" applyBorder="1" applyAlignment="1" applyProtection="1">
      <alignment horizontal="right" vertical="center"/>
      <protection locked="0"/>
    </xf>
    <xf numFmtId="38" fontId="48" fillId="0" borderId="147" xfId="11" applyFont="1" applyFill="1" applyBorder="1" applyAlignment="1" applyProtection="1">
      <alignment horizontal="right" vertical="center"/>
      <protection locked="0"/>
    </xf>
    <xf numFmtId="38" fontId="48" fillId="0" borderId="149" xfId="11" applyFont="1" applyFill="1" applyBorder="1" applyAlignment="1" applyProtection="1">
      <alignment horizontal="right" vertical="center"/>
      <protection locked="0"/>
    </xf>
    <xf numFmtId="38" fontId="48" fillId="0" borderId="150" xfId="11" applyFont="1" applyFill="1" applyBorder="1" applyAlignment="1" applyProtection="1">
      <alignment horizontal="right" vertical="center"/>
      <protection locked="0"/>
    </xf>
    <xf numFmtId="38" fontId="48" fillId="0" borderId="22" xfId="11" applyFont="1" applyFill="1" applyBorder="1" applyAlignment="1" applyProtection="1">
      <alignment horizontal="right" vertical="center"/>
      <protection locked="0"/>
    </xf>
    <xf numFmtId="38" fontId="52" fillId="0" borderId="144" xfId="11" applyFont="1" applyFill="1" applyBorder="1" applyAlignment="1" applyProtection="1">
      <alignment horizontal="left" vertical="center"/>
      <protection locked="0"/>
    </xf>
    <xf numFmtId="38" fontId="52" fillId="0" borderId="89" xfId="11" applyFont="1" applyFill="1" applyBorder="1" applyAlignment="1" applyProtection="1">
      <alignment horizontal="left" vertical="center"/>
      <protection locked="0"/>
    </xf>
    <xf numFmtId="0" fontId="44" fillId="0" borderId="22" xfId="0" applyFont="1" applyFill="1" applyBorder="1" applyAlignment="1" applyProtection="1">
      <alignment vertical="center"/>
    </xf>
    <xf numFmtId="38" fontId="44" fillId="0" borderId="22" xfId="11" applyFont="1" applyFill="1" applyBorder="1" applyAlignment="1">
      <alignment vertical="center"/>
    </xf>
    <xf numFmtId="3" fontId="44" fillId="0" borderId="0" xfId="0" applyNumberFormat="1" applyFont="1" applyFill="1"/>
    <xf numFmtId="0" fontId="6" fillId="0" borderId="140" xfId="0" applyFont="1" applyFill="1" applyBorder="1" applyAlignment="1">
      <alignment horizontal="left" vertical="center" shrinkToFit="1"/>
    </xf>
    <xf numFmtId="0" fontId="9" fillId="0" borderId="0" xfId="0" applyFont="1" applyFill="1" applyBorder="1" applyAlignment="1">
      <alignment horizontal="center" shrinkToFit="1"/>
    </xf>
    <xf numFmtId="0" fontId="9" fillId="0" borderId="6" xfId="0" applyFont="1" applyFill="1" applyBorder="1" applyAlignment="1">
      <alignment horizontal="center" shrinkToFit="1"/>
    </xf>
    <xf numFmtId="38" fontId="0" fillId="0" borderId="0" xfId="11" applyFont="1" applyAlignment="1">
      <alignment horizontal="right"/>
    </xf>
    <xf numFmtId="0" fontId="0" fillId="0" borderId="0" xfId="0" applyAlignment="1">
      <alignment horizontal="right"/>
    </xf>
    <xf numFmtId="0" fontId="44" fillId="0" borderId="0" xfId="0" applyFont="1" applyAlignment="1">
      <alignment horizontal="center" vertical="center" shrinkToFit="1"/>
    </xf>
    <xf numFmtId="0" fontId="0" fillId="0" borderId="0" xfId="0" applyAlignment="1">
      <alignment horizontal="center" vertical="center"/>
    </xf>
    <xf numFmtId="0" fontId="44" fillId="0" borderId="131" xfId="0" applyFont="1" applyBorder="1" applyAlignment="1">
      <alignment horizontal="center" vertical="center" shrinkToFit="1"/>
    </xf>
    <xf numFmtId="0" fontId="44" fillId="0" borderId="132" xfId="0" applyFont="1" applyBorder="1" applyAlignment="1">
      <alignment horizontal="center" vertical="center" shrinkToFit="1"/>
    </xf>
    <xf numFmtId="0" fontId="44" fillId="0" borderId="151" xfId="0" applyFont="1" applyBorder="1" applyAlignment="1">
      <alignment horizontal="center" vertical="center" shrinkToFit="1"/>
    </xf>
    <xf numFmtId="0" fontId="44" fillId="0" borderId="105" xfId="0" applyFont="1" applyBorder="1" applyAlignment="1">
      <alignment horizontal="left" vertical="center" shrinkToFit="1"/>
    </xf>
    <xf numFmtId="0" fontId="44" fillId="0" borderId="152" xfId="0" applyFont="1" applyBorder="1" applyAlignment="1">
      <alignment horizontal="left" vertical="center" shrinkToFit="1"/>
    </xf>
    <xf numFmtId="0" fontId="44" fillId="0" borderId="153" xfId="0" applyFont="1" applyBorder="1" applyAlignment="1">
      <alignment horizontal="left" vertical="center" shrinkToFit="1"/>
    </xf>
    <xf numFmtId="0" fontId="44" fillId="0" borderId="106" xfId="0" applyFont="1" applyBorder="1" applyAlignment="1">
      <alignment horizontal="center" vertical="center" shrinkToFit="1"/>
    </xf>
    <xf numFmtId="0" fontId="44" fillId="0" borderId="154" xfId="0" applyFont="1" applyBorder="1" applyAlignment="1">
      <alignment horizontal="left" vertical="center" shrinkToFit="1"/>
    </xf>
    <xf numFmtId="0" fontId="44" fillId="0" borderId="153" xfId="0" applyFont="1" applyBorder="1" applyAlignment="1">
      <alignment horizontal="center" vertical="center" shrinkToFit="1"/>
    </xf>
    <xf numFmtId="38" fontId="44" fillId="0" borderId="0" xfId="11" applyFont="1" applyAlignment="1">
      <alignment horizontal="right" vertical="center" shrinkToFit="1"/>
    </xf>
    <xf numFmtId="38" fontId="44" fillId="0" borderId="154" xfId="11" applyFont="1" applyBorder="1" applyAlignment="1">
      <alignment horizontal="center" vertical="center" shrinkToFit="1"/>
    </xf>
    <xf numFmtId="38" fontId="44" fillId="0" borderId="132" xfId="11" applyFont="1" applyBorder="1" applyAlignment="1">
      <alignment horizontal="center" vertical="center" shrinkToFit="1"/>
    </xf>
    <xf numFmtId="38" fontId="44" fillId="0" borderId="151" xfId="11" applyFont="1" applyBorder="1" applyAlignment="1">
      <alignment horizontal="center" vertical="center" shrinkToFit="1"/>
    </xf>
    <xf numFmtId="38" fontId="54" fillId="0" borderId="105" xfId="11" applyFont="1" applyBorder="1" applyAlignment="1">
      <alignment horizontal="right" vertical="center" shrinkToFit="1"/>
    </xf>
    <xf numFmtId="38" fontId="54" fillId="0" borderId="152" xfId="11" applyFont="1" applyBorder="1" applyAlignment="1">
      <alignment horizontal="right" vertical="center" shrinkToFit="1"/>
    </xf>
    <xf numFmtId="38" fontId="54" fillId="0" borderId="153" xfId="11" applyFont="1" applyBorder="1" applyAlignment="1">
      <alignment horizontal="right" vertical="center" shrinkToFit="1"/>
    </xf>
    <xf numFmtId="38" fontId="54" fillId="0" borderId="106" xfId="11" applyFont="1" applyBorder="1" applyAlignment="1">
      <alignment horizontal="right" vertical="center" shrinkToFit="1"/>
    </xf>
    <xf numFmtId="38" fontId="54" fillId="0" borderId="154" xfId="11" applyFont="1" applyBorder="1" applyAlignment="1">
      <alignment horizontal="right" vertical="center" shrinkToFit="1"/>
    </xf>
    <xf numFmtId="38" fontId="54" fillId="0" borderId="155" xfId="11" applyFont="1" applyBorder="1" applyAlignment="1">
      <alignment horizontal="right" vertical="center" shrinkToFit="1"/>
    </xf>
    <xf numFmtId="38" fontId="44" fillId="0" borderId="156" xfId="11" applyFont="1" applyBorder="1" applyAlignment="1">
      <alignment horizontal="center" vertical="center" shrinkToFit="1"/>
    </xf>
    <xf numFmtId="38" fontId="44" fillId="0" borderId="0" xfId="11" applyFont="1" applyAlignment="1">
      <alignment horizontal="center" vertical="center" shrinkToFit="1"/>
    </xf>
    <xf numFmtId="38" fontId="44" fillId="0" borderId="124" xfId="11" applyFont="1" applyBorder="1" applyAlignment="1">
      <alignment horizontal="center" vertical="center" shrinkToFit="1"/>
    </xf>
    <xf numFmtId="38" fontId="44" fillId="0" borderId="157" xfId="11" applyFont="1" applyBorder="1" applyAlignment="1">
      <alignment horizontal="center" vertical="center" shrinkToFit="1"/>
    </xf>
    <xf numFmtId="38" fontId="54" fillId="0" borderId="158" xfId="11" applyFont="1" applyBorder="1" applyAlignment="1">
      <alignment horizontal="right" vertical="center" shrinkToFit="1"/>
    </xf>
    <xf numFmtId="38" fontId="54" fillId="0" borderId="159" xfId="11" applyFont="1" applyBorder="1" applyAlignment="1">
      <alignment horizontal="right" vertical="center" shrinkToFit="1"/>
    </xf>
    <xf numFmtId="38" fontId="54" fillId="0" borderId="160" xfId="11" applyFont="1" applyBorder="1" applyAlignment="1">
      <alignment horizontal="right" vertical="center" shrinkToFit="1"/>
    </xf>
    <xf numFmtId="38" fontId="54" fillId="0" borderId="93" xfId="11" applyFont="1" applyBorder="1" applyAlignment="1">
      <alignment horizontal="right" vertical="center" shrinkToFit="1"/>
    </xf>
    <xf numFmtId="38" fontId="54" fillId="0" borderId="156" xfId="11" applyFont="1" applyBorder="1" applyAlignment="1">
      <alignment horizontal="right" vertical="center" shrinkToFit="1"/>
    </xf>
    <xf numFmtId="38" fontId="54" fillId="0" borderId="161" xfId="11" applyFont="1" applyBorder="1" applyAlignment="1">
      <alignment horizontal="right" vertical="center" shrinkToFit="1"/>
    </xf>
    <xf numFmtId="0" fontId="53" fillId="0" borderId="99" xfId="11" applyNumberFormat="1" applyFont="1" applyBorder="1" applyAlignment="1">
      <alignment horizontal="right" vertical="center" shrinkToFit="1"/>
    </xf>
    <xf numFmtId="38" fontId="44" fillId="0" borderId="162" xfId="11" applyFont="1" applyBorder="1" applyAlignment="1">
      <alignment horizontal="center" vertical="center" shrinkToFit="1"/>
    </xf>
    <xf numFmtId="38" fontId="44" fillId="0" borderId="163" xfId="11" applyFont="1" applyBorder="1" applyAlignment="1">
      <alignment horizontal="center" vertical="center" shrinkToFit="1"/>
    </xf>
    <xf numFmtId="38" fontId="44" fillId="0" borderId="164" xfId="11" applyFont="1" applyBorder="1" applyAlignment="1">
      <alignment horizontal="center" vertical="center" shrinkToFit="1"/>
    </xf>
    <xf numFmtId="38" fontId="54" fillId="0" borderId="165" xfId="11" applyFont="1" applyBorder="1" applyAlignment="1">
      <alignment horizontal="right" vertical="center" shrinkToFit="1"/>
    </xf>
    <xf numFmtId="38" fontId="54" fillId="0" borderId="166" xfId="11" applyFont="1" applyBorder="1" applyAlignment="1">
      <alignment horizontal="right" vertical="center" shrinkToFit="1"/>
    </xf>
    <xf numFmtId="38" fontId="54" fillId="0" borderId="167" xfId="11" applyFont="1" applyBorder="1" applyAlignment="1">
      <alignment horizontal="right" vertical="center" shrinkToFit="1"/>
    </xf>
    <xf numFmtId="38" fontId="54" fillId="0" borderId="168" xfId="11" applyFont="1" applyBorder="1" applyAlignment="1">
      <alignment horizontal="right" vertical="center" shrinkToFit="1"/>
    </xf>
    <xf numFmtId="38" fontId="54" fillId="0" borderId="169" xfId="11" applyFont="1" applyBorder="1" applyAlignment="1">
      <alignment horizontal="right" vertical="center" shrinkToFit="1"/>
    </xf>
    <xf numFmtId="38" fontId="54" fillId="0" borderId="92" xfId="11" applyFont="1" applyBorder="1" applyAlignment="1">
      <alignment horizontal="right" vertical="center" shrinkToFit="1"/>
    </xf>
    <xf numFmtId="38" fontId="54" fillId="0" borderId="97" xfId="11" applyFont="1" applyBorder="1" applyAlignment="1">
      <alignment horizontal="right" vertical="center" shrinkToFit="1"/>
    </xf>
    <xf numFmtId="38" fontId="54" fillId="0" borderId="170" xfId="11" applyFont="1" applyBorder="1" applyAlignment="1">
      <alignment horizontal="right" vertical="center" shrinkToFit="1"/>
    </xf>
    <xf numFmtId="38" fontId="54" fillId="0" borderId="171" xfId="11" applyFont="1" applyBorder="1" applyAlignment="1">
      <alignment horizontal="right" vertical="center" shrinkToFit="1"/>
    </xf>
    <xf numFmtId="38" fontId="54" fillId="0" borderId="130" xfId="11" applyFont="1" applyBorder="1" applyAlignment="1">
      <alignment horizontal="right" vertical="center" shrinkToFit="1"/>
    </xf>
    <xf numFmtId="38" fontId="44" fillId="0" borderId="0" xfId="11" applyFont="1" applyBorder="1" applyAlignment="1">
      <alignment horizontal="center" vertical="center" shrinkToFit="1"/>
    </xf>
    <xf numFmtId="38" fontId="54" fillId="0" borderId="0" xfId="11" applyFont="1" applyBorder="1" applyAlignment="1">
      <alignment horizontal="right" vertical="center" shrinkToFit="1"/>
    </xf>
    <xf numFmtId="38" fontId="44" fillId="0" borderId="99" xfId="11" applyFont="1" applyBorder="1" applyAlignment="1">
      <alignment horizontal="center" vertical="center" shrinkToFit="1"/>
    </xf>
    <xf numFmtId="38" fontId="44" fillId="0" borderId="127" xfId="11" applyFont="1" applyBorder="1" applyAlignment="1">
      <alignment horizontal="center" vertical="center" shrinkToFit="1"/>
    </xf>
    <xf numFmtId="38" fontId="6" fillId="0" borderId="172" xfId="11" applyFont="1" applyBorder="1" applyAlignment="1">
      <alignment horizontal="center" vertical="center" wrapText="1" shrinkToFit="1"/>
    </xf>
    <xf numFmtId="38" fontId="44" fillId="0" borderId="173" xfId="11" applyFont="1" applyBorder="1" applyAlignment="1">
      <alignment horizontal="center" vertical="center" shrinkToFit="1"/>
    </xf>
    <xf numFmtId="38" fontId="54" fillId="0" borderId="174" xfId="11" applyFont="1" applyBorder="1" applyAlignment="1">
      <alignment horizontal="right" vertical="center" shrinkToFit="1"/>
    </xf>
    <xf numFmtId="38" fontId="44" fillId="0" borderId="175" xfId="11" applyFont="1" applyBorder="1" applyAlignment="1">
      <alignment horizontal="center" vertical="center" shrinkToFit="1"/>
    </xf>
    <xf numFmtId="38" fontId="6" fillId="0" borderId="3" xfId="11" applyFont="1" applyBorder="1" applyAlignment="1">
      <alignment horizontal="center" vertical="center" wrapText="1"/>
    </xf>
    <xf numFmtId="38" fontId="44" fillId="0" borderId="176" xfId="11" applyFont="1" applyBorder="1" applyAlignment="1">
      <alignment horizontal="center" vertical="center" shrinkToFit="1"/>
    </xf>
    <xf numFmtId="38" fontId="54" fillId="0" borderId="4" xfId="11" applyFont="1" applyBorder="1" applyAlignment="1">
      <alignment horizontal="right" vertical="center" shrinkToFit="1"/>
    </xf>
    <xf numFmtId="38" fontId="54" fillId="0" borderId="2" xfId="11" applyFont="1" applyBorder="1" applyAlignment="1">
      <alignment horizontal="right" vertical="center" shrinkToFit="1"/>
    </xf>
    <xf numFmtId="38" fontId="54" fillId="0" borderId="177" xfId="11" applyFont="1" applyBorder="1" applyAlignment="1">
      <alignment horizontal="right" vertical="center" shrinkToFit="1"/>
    </xf>
    <xf numFmtId="38" fontId="54" fillId="0" borderId="85" xfId="11" applyFont="1" applyBorder="1" applyAlignment="1">
      <alignment horizontal="right" vertical="center" shrinkToFit="1"/>
    </xf>
    <xf numFmtId="38" fontId="54" fillId="0" borderId="178" xfId="11" applyFont="1" applyBorder="1" applyAlignment="1">
      <alignment horizontal="right" vertical="center" shrinkToFit="1"/>
    </xf>
    <xf numFmtId="38" fontId="44" fillId="0" borderId="133" xfId="11" applyFont="1" applyBorder="1" applyAlignment="1">
      <alignment horizontal="center" vertical="center" shrinkToFit="1"/>
    </xf>
    <xf numFmtId="38" fontId="44" fillId="0" borderId="172" xfId="11" applyFont="1" applyBorder="1" applyAlignment="1">
      <alignment horizontal="center" vertical="center" wrapText="1"/>
    </xf>
    <xf numFmtId="38" fontId="53" fillId="0" borderId="99" xfId="11" applyFont="1" applyBorder="1" applyAlignment="1">
      <alignment horizontal="right" vertical="center" shrinkToFit="1"/>
    </xf>
    <xf numFmtId="38" fontId="44" fillId="0" borderId="163" xfId="11" applyFont="1" applyBorder="1" applyAlignment="1">
      <alignment horizontal="center" vertical="center"/>
    </xf>
    <xf numFmtId="38" fontId="44" fillId="0" borderId="131" xfId="11" applyFont="1" applyBorder="1" applyAlignment="1">
      <alignment horizontal="center" vertical="center" wrapText="1" shrinkToFit="1"/>
    </xf>
    <xf numFmtId="38" fontId="44" fillId="0" borderId="132" xfId="11" applyFont="1" applyBorder="1" applyAlignment="1">
      <alignment horizontal="center" vertical="center" wrapText="1" shrinkToFit="1"/>
    </xf>
    <xf numFmtId="38" fontId="44" fillId="0" borderId="179" xfId="11" applyFont="1" applyBorder="1" applyAlignment="1">
      <alignment horizontal="center" vertical="center" shrinkToFit="1"/>
    </xf>
    <xf numFmtId="38" fontId="54" fillId="0" borderId="111" xfId="11" applyFont="1" applyBorder="1" applyAlignment="1">
      <alignment horizontal="right" vertical="center" shrinkToFit="1"/>
    </xf>
    <xf numFmtId="38" fontId="54" fillId="0" borderId="180" xfId="11" applyFont="1" applyBorder="1" applyAlignment="1">
      <alignment horizontal="right" vertical="center" shrinkToFit="1"/>
    </xf>
    <xf numFmtId="38" fontId="54" fillId="0" borderId="181" xfId="11" applyFont="1" applyBorder="1" applyAlignment="1">
      <alignment horizontal="right" vertical="center" shrinkToFit="1"/>
    </xf>
    <xf numFmtId="38" fontId="44" fillId="0" borderId="131" xfId="11" applyFont="1" applyBorder="1" applyAlignment="1">
      <alignment horizontal="center" vertical="center"/>
    </xf>
    <xf numFmtId="38" fontId="44" fillId="0" borderId="132" xfId="11" applyFont="1" applyBorder="1" applyAlignment="1">
      <alignment horizontal="center" vertical="center"/>
    </xf>
    <xf numFmtId="0" fontId="44" fillId="0" borderId="0" xfId="0" applyFont="1" applyAlignment="1">
      <alignment horizontal="right" vertical="center" shrinkToFit="1"/>
    </xf>
    <xf numFmtId="38" fontId="0" fillId="0" borderId="0" xfId="0" applyNumberFormat="1" applyAlignment="1">
      <alignment horizontal="right" vertical="center"/>
    </xf>
    <xf numFmtId="0" fontId="0" fillId="0" borderId="0" xfId="0" applyAlignment="1">
      <alignment horizontal="righ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horizontal="center" vertical="center"/>
    </xf>
    <xf numFmtId="0" fontId="58" fillId="0" borderId="6" xfId="0" applyFont="1" applyBorder="1" applyAlignment="1">
      <alignment vertical="center" shrinkToFit="1"/>
    </xf>
    <xf numFmtId="0" fontId="56" fillId="0" borderId="0" xfId="0" applyFont="1" applyBorder="1" applyAlignment="1">
      <alignment vertical="center"/>
    </xf>
    <xf numFmtId="0" fontId="55" fillId="0" borderId="2" xfId="0" applyFont="1" applyBorder="1" applyAlignment="1">
      <alignment horizontal="center" vertical="center"/>
    </xf>
    <xf numFmtId="0" fontId="56" fillId="0" borderId="2" xfId="0" applyFont="1" applyBorder="1" applyAlignment="1">
      <alignment horizontal="center" vertical="center" textRotation="255"/>
    </xf>
    <xf numFmtId="0" fontId="56" fillId="0" borderId="3" xfId="0" applyFont="1" applyBorder="1" applyAlignment="1">
      <alignment horizontal="center" vertical="center" textRotation="255"/>
    </xf>
    <xf numFmtId="0" fontId="56" fillId="0" borderId="5" xfId="0" applyFont="1" applyBorder="1" applyAlignment="1">
      <alignment horizontal="center" vertical="center" textRotation="255"/>
    </xf>
    <xf numFmtId="0" fontId="56" fillId="0" borderId="4" xfId="0" applyFont="1" applyBorder="1" applyAlignment="1">
      <alignment horizontal="center" vertical="center" textRotation="255"/>
    </xf>
    <xf numFmtId="0" fontId="59" fillId="0" borderId="2" xfId="0" applyFont="1" applyBorder="1" applyAlignment="1">
      <alignment horizontal="center" vertical="center"/>
    </xf>
    <xf numFmtId="0" fontId="60" fillId="0" borderId="0" xfId="0" applyFont="1" applyAlignment="1">
      <alignment vertical="center"/>
    </xf>
    <xf numFmtId="0" fontId="56" fillId="0" borderId="1" xfId="0" applyFont="1" applyBorder="1" applyAlignment="1">
      <alignment horizontal="center" vertical="center"/>
    </xf>
    <xf numFmtId="0" fontId="55" fillId="0" borderId="1" xfId="0" applyFont="1" applyBorder="1" applyAlignment="1">
      <alignment vertical="center"/>
    </xf>
    <xf numFmtId="0" fontId="55" fillId="0" borderId="0" xfId="0" applyFont="1" applyAlignment="1">
      <alignment vertical="top"/>
    </xf>
    <xf numFmtId="0" fontId="61" fillId="0" borderId="3" xfId="0" applyFont="1" applyBorder="1" applyAlignment="1">
      <alignment vertical="center" textRotation="255" shrinkToFit="1"/>
    </xf>
    <xf numFmtId="0" fontId="61" fillId="0" borderId="5" xfId="0" applyFont="1" applyBorder="1" applyAlignment="1">
      <alignment vertical="center" textRotation="255" shrinkToFit="1"/>
    </xf>
    <xf numFmtId="0" fontId="61" fillId="0" borderId="4" xfId="0" applyFont="1" applyBorder="1" applyAlignment="1">
      <alignment vertical="center" textRotation="255" shrinkToFit="1"/>
    </xf>
    <xf numFmtId="0" fontId="56" fillId="0" borderId="2" xfId="0" applyFont="1" applyBorder="1" applyAlignment="1">
      <alignment vertical="center"/>
    </xf>
    <xf numFmtId="0" fontId="56" fillId="0" borderId="1" xfId="0" applyFont="1" applyBorder="1" applyAlignment="1">
      <alignment vertical="center" shrinkToFit="1"/>
    </xf>
    <xf numFmtId="0" fontId="56" fillId="0" borderId="64" xfId="0" applyFont="1" applyBorder="1" applyAlignment="1">
      <alignment horizontal="center" vertical="center"/>
    </xf>
    <xf numFmtId="0" fontId="55" fillId="0" borderId="64" xfId="0" applyFont="1" applyBorder="1" applyAlignment="1">
      <alignment vertical="center"/>
    </xf>
    <xf numFmtId="0" fontId="56" fillId="0" borderId="2" xfId="0" applyFont="1" applyBorder="1" applyAlignment="1">
      <alignment horizontal="center" vertical="center"/>
    </xf>
    <xf numFmtId="0" fontId="56" fillId="0" borderId="2" xfId="0" applyFont="1" applyBorder="1" applyAlignment="1">
      <alignment horizontal="center" vertical="center" shrinkToFit="1"/>
    </xf>
    <xf numFmtId="0" fontId="58" fillId="0" borderId="2" xfId="0" applyFont="1" applyBorder="1" applyAlignment="1">
      <alignment horizontal="center" vertical="center"/>
    </xf>
    <xf numFmtId="0" fontId="56" fillId="0" borderId="64" xfId="0" applyFont="1" applyBorder="1" applyAlignment="1">
      <alignment vertical="center" shrinkToFit="1"/>
    </xf>
    <xf numFmtId="0" fontId="55" fillId="0" borderId="6" xfId="0" applyFont="1" applyBorder="1" applyAlignment="1">
      <alignment vertical="center" shrinkToFit="1"/>
    </xf>
    <xf numFmtId="0" fontId="56" fillId="0" borderId="22" xfId="0" applyFont="1" applyBorder="1" applyAlignment="1">
      <alignment horizontal="center" vertical="center"/>
    </xf>
    <xf numFmtId="0" fontId="55" fillId="0" borderId="22" xfId="0" applyFont="1" applyBorder="1" applyAlignment="1">
      <alignment vertical="center"/>
    </xf>
    <xf numFmtId="0" fontId="56" fillId="0" borderId="1" xfId="0" applyFont="1" applyBorder="1" applyAlignment="1">
      <alignment horizontal="center" vertical="center" wrapText="1"/>
    </xf>
    <xf numFmtId="180" fontId="56" fillId="0" borderId="1" xfId="0" applyNumberFormat="1" applyFont="1" applyBorder="1" applyAlignment="1">
      <alignment horizontal="center" vertical="center" shrinkToFit="1"/>
    </xf>
    <xf numFmtId="0" fontId="52" fillId="0" borderId="182" xfId="0" applyFont="1" applyBorder="1" applyAlignment="1">
      <alignment horizontal="center" vertical="center"/>
    </xf>
    <xf numFmtId="180" fontId="56" fillId="0" borderId="22" xfId="0" applyNumberFormat="1" applyFont="1" applyBorder="1" applyAlignment="1">
      <alignment horizontal="center" vertical="center" shrinkToFit="1"/>
    </xf>
    <xf numFmtId="0" fontId="52" fillId="0" borderId="183" xfId="0" applyFont="1" applyBorder="1" applyAlignment="1">
      <alignment horizontal="center" vertical="center"/>
    </xf>
    <xf numFmtId="181" fontId="56" fillId="0" borderId="1" xfId="0" applyNumberFormat="1" applyFont="1" applyBorder="1" applyAlignment="1">
      <alignment horizontal="right" vertical="center" shrinkToFit="1"/>
    </xf>
    <xf numFmtId="181" fontId="52" fillId="0" borderId="182" xfId="0" applyNumberFormat="1" applyFont="1" applyBorder="1" applyAlignment="1">
      <alignment vertical="center"/>
    </xf>
    <xf numFmtId="181" fontId="56" fillId="0" borderId="64" xfId="0" applyNumberFormat="1" applyFont="1" applyBorder="1" applyAlignment="1">
      <alignment horizontal="right" vertical="center" shrinkToFit="1"/>
    </xf>
    <xf numFmtId="181" fontId="52" fillId="0" borderId="184" xfId="0" applyNumberFormat="1" applyFont="1" applyBorder="1" applyAlignment="1">
      <alignment vertical="center"/>
    </xf>
    <xf numFmtId="0" fontId="56" fillId="0" borderId="22" xfId="0" applyFont="1" applyBorder="1" applyAlignment="1">
      <alignment vertical="center" shrinkToFit="1"/>
    </xf>
    <xf numFmtId="0" fontId="59" fillId="0" borderId="1" xfId="0" applyFont="1" applyBorder="1" applyAlignment="1">
      <alignment horizontal="center" vertical="center"/>
    </xf>
    <xf numFmtId="0" fontId="55" fillId="0" borderId="1" xfId="0" applyFont="1" applyBorder="1" applyAlignment="1">
      <alignment horizontal="center" vertical="center"/>
    </xf>
    <xf numFmtId="0" fontId="56" fillId="0" borderId="137" xfId="0" applyFont="1" applyBorder="1" applyAlignment="1">
      <alignment horizontal="center" vertical="center"/>
    </xf>
    <xf numFmtId="0" fontId="56" fillId="0" borderId="185" xfId="0" applyFont="1" applyBorder="1" applyAlignment="1">
      <alignment vertical="center"/>
    </xf>
    <xf numFmtId="181" fontId="56" fillId="0" borderId="22" xfId="0" applyNumberFormat="1" applyFont="1" applyBorder="1" applyAlignment="1">
      <alignment horizontal="right" vertical="center" shrinkToFit="1"/>
    </xf>
    <xf numFmtId="181" fontId="52" fillId="0" borderId="183" xfId="0" applyNumberFormat="1" applyFont="1" applyBorder="1" applyAlignment="1">
      <alignment vertical="center"/>
    </xf>
    <xf numFmtId="0" fontId="55" fillId="0" borderId="64" xfId="0" applyFont="1" applyBorder="1" applyAlignment="1">
      <alignment horizontal="center" vertical="center"/>
    </xf>
    <xf numFmtId="182" fontId="48" fillId="0" borderId="64" xfId="0" applyNumberFormat="1" applyFont="1" applyBorder="1" applyAlignment="1">
      <alignment vertical="center"/>
    </xf>
    <xf numFmtId="182" fontId="19" fillId="0" borderId="67" xfId="0" applyNumberFormat="1" applyFont="1" applyBorder="1" applyAlignment="1">
      <alignment vertical="center"/>
    </xf>
    <xf numFmtId="182" fontId="19" fillId="0" borderId="186" xfId="0" applyNumberFormat="1" applyFont="1" applyBorder="1" applyAlignment="1">
      <alignment vertical="center"/>
    </xf>
    <xf numFmtId="0" fontId="56" fillId="0" borderId="1" xfId="0" applyFont="1" applyBorder="1" applyAlignment="1">
      <alignment horizontal="center" vertical="center" shrinkToFit="1"/>
    </xf>
    <xf numFmtId="0" fontId="52" fillId="0" borderId="182" xfId="0" applyFont="1" applyBorder="1" applyAlignment="1">
      <alignment vertical="center"/>
    </xf>
    <xf numFmtId="0" fontId="56" fillId="0" borderId="22" xfId="0" applyFont="1" applyBorder="1" applyAlignment="1">
      <alignment horizontal="center" vertical="center" wrapText="1"/>
    </xf>
    <xf numFmtId="0" fontId="56" fillId="0" borderId="22" xfId="0" applyFont="1" applyBorder="1" applyAlignment="1">
      <alignment horizontal="center" vertical="center" shrinkToFit="1"/>
    </xf>
    <xf numFmtId="0" fontId="52" fillId="0" borderId="183" xfId="0" applyFont="1" applyBorder="1" applyAlignment="1">
      <alignment vertical="center"/>
    </xf>
    <xf numFmtId="0" fontId="56" fillId="0" borderId="2" xfId="0" applyFont="1" applyBorder="1" applyAlignment="1">
      <alignment horizontal="center" vertical="center" wrapText="1"/>
    </xf>
    <xf numFmtId="0" fontId="52" fillId="0" borderId="187" xfId="0" applyFont="1" applyBorder="1" applyAlignment="1">
      <alignment vertical="center"/>
    </xf>
    <xf numFmtId="183" fontId="56" fillId="0" borderId="1" xfId="0" applyNumberFormat="1" applyFont="1" applyBorder="1" applyAlignment="1">
      <alignment horizontal="center" vertical="center" shrinkToFit="1"/>
    </xf>
    <xf numFmtId="9" fontId="52" fillId="0" borderId="182" xfId="0" applyNumberFormat="1" applyFont="1" applyBorder="1" applyAlignment="1">
      <alignment vertical="center"/>
    </xf>
    <xf numFmtId="183" fontId="56" fillId="0" borderId="22" xfId="0" applyNumberFormat="1" applyFont="1" applyBorder="1" applyAlignment="1">
      <alignment horizontal="center" vertical="center" shrinkToFit="1"/>
    </xf>
    <xf numFmtId="9" fontId="52" fillId="0" borderId="183" xfId="0" applyNumberFormat="1" applyFont="1" applyBorder="1" applyAlignment="1">
      <alignment vertical="center"/>
    </xf>
    <xf numFmtId="0" fontId="55" fillId="0" borderId="22" xfId="0" applyFont="1" applyBorder="1" applyAlignment="1">
      <alignment horizontal="center" vertical="center"/>
    </xf>
    <xf numFmtId="182" fontId="56" fillId="0" borderId="22" xfId="0" applyNumberFormat="1" applyFont="1" applyBorder="1" applyAlignment="1">
      <alignment vertical="center"/>
    </xf>
    <xf numFmtId="182" fontId="56" fillId="0" borderId="144" xfId="0" applyNumberFormat="1" applyFont="1" applyBorder="1" applyAlignment="1">
      <alignment vertical="center"/>
    </xf>
    <xf numFmtId="182" fontId="56" fillId="0" borderId="188" xfId="0" applyNumberFormat="1" applyFont="1" applyBorder="1" applyAlignment="1">
      <alignment vertical="center"/>
    </xf>
    <xf numFmtId="181" fontId="56" fillId="0" borderId="1" xfId="0" applyNumberFormat="1" applyFont="1" applyBorder="1" applyAlignment="1">
      <alignment vertical="center" shrinkToFit="1"/>
    </xf>
    <xf numFmtId="181" fontId="52" fillId="0" borderId="1" xfId="0" applyNumberFormat="1" applyFont="1" applyBorder="1" applyAlignment="1">
      <alignment vertical="center"/>
    </xf>
    <xf numFmtId="184" fontId="55" fillId="0" borderId="0" xfId="0" applyNumberFormat="1" applyFont="1" applyAlignment="1" applyProtection="1">
      <alignment horizontal="right" vertical="center"/>
      <protection locked="0"/>
    </xf>
    <xf numFmtId="49" fontId="56" fillId="0" borderId="0" xfId="0" applyNumberFormat="1" applyFont="1" applyAlignment="1">
      <alignment horizontal="right" vertical="center"/>
    </xf>
    <xf numFmtId="0" fontId="56" fillId="0" borderId="6" xfId="0" applyFont="1" applyBorder="1" applyAlignment="1">
      <alignment vertical="center"/>
    </xf>
    <xf numFmtId="0" fontId="56" fillId="0" borderId="64" xfId="0" applyFont="1" applyBorder="1" applyAlignment="1">
      <alignment vertical="center"/>
    </xf>
    <xf numFmtId="0" fontId="56" fillId="0" borderId="0" xfId="0" applyFont="1" applyBorder="1" applyAlignment="1">
      <alignment horizontal="distributed" vertical="center"/>
    </xf>
    <xf numFmtId="0" fontId="56" fillId="0" borderId="1" xfId="0" applyFont="1" applyBorder="1" applyAlignment="1">
      <alignment vertical="center" wrapText="1"/>
    </xf>
    <xf numFmtId="0" fontId="62" fillId="0" borderId="1" xfId="0" applyFont="1" applyBorder="1" applyAlignment="1">
      <alignment vertical="center" wrapText="1"/>
    </xf>
    <xf numFmtId="0" fontId="56" fillId="0" borderId="1" xfId="0" applyFont="1" applyBorder="1" applyAlignment="1">
      <alignment vertical="center"/>
    </xf>
    <xf numFmtId="181" fontId="56" fillId="0" borderId="22" xfId="0" applyNumberFormat="1" applyFont="1" applyBorder="1" applyAlignment="1">
      <alignment vertical="center" shrinkToFit="1"/>
    </xf>
    <xf numFmtId="181" fontId="52" fillId="0" borderId="22" xfId="0" applyNumberFormat="1" applyFont="1" applyBorder="1" applyAlignment="1">
      <alignment vertical="center"/>
    </xf>
    <xf numFmtId="0" fontId="58" fillId="0" borderId="6" xfId="0" applyNumberFormat="1" applyFont="1" applyBorder="1" applyAlignment="1">
      <alignment horizontal="left" vertical="center" shrinkToFit="1"/>
    </xf>
    <xf numFmtId="0" fontId="56" fillId="0" borderId="0" xfId="0" applyNumberFormat="1" applyFont="1" applyBorder="1" applyAlignment="1">
      <alignment horizontal="left" vertical="center"/>
    </xf>
    <xf numFmtId="0" fontId="56" fillId="0" borderId="64" xfId="0" applyFont="1" applyBorder="1" applyAlignment="1">
      <alignment vertical="center" wrapText="1"/>
    </xf>
    <xf numFmtId="0" fontId="62" fillId="0" borderId="64" xfId="0" applyFont="1" applyBorder="1" applyAlignment="1">
      <alignment vertical="center" wrapText="1"/>
    </xf>
    <xf numFmtId="0" fontId="55" fillId="0" borderId="2" xfId="0" applyFont="1" applyBorder="1" applyAlignment="1">
      <alignment vertical="center"/>
    </xf>
    <xf numFmtId="181" fontId="52" fillId="0" borderId="189" xfId="0" applyNumberFormat="1" applyFont="1" applyBorder="1" applyAlignment="1">
      <alignment horizontal="center" vertical="center" shrinkToFit="1"/>
    </xf>
    <xf numFmtId="181" fontId="52" fillId="0" borderId="190" xfId="0" applyNumberFormat="1" applyFont="1" applyBorder="1" applyAlignment="1">
      <alignment horizontal="center" vertical="center" shrinkToFit="1"/>
    </xf>
    <xf numFmtId="181" fontId="52" fillId="0" borderId="191" xfId="0" applyNumberFormat="1" applyFont="1" applyBorder="1" applyAlignment="1">
      <alignment horizontal="center" vertical="center" shrinkToFit="1"/>
    </xf>
    <xf numFmtId="0" fontId="52" fillId="0" borderId="22" xfId="0" applyNumberFormat="1" applyFont="1" applyBorder="1" applyAlignment="1">
      <alignment horizontal="center" vertical="center"/>
    </xf>
    <xf numFmtId="0" fontId="56" fillId="0" borderId="22" xfId="0" applyFont="1" applyBorder="1" applyAlignment="1">
      <alignment vertical="center" wrapText="1"/>
    </xf>
    <xf numFmtId="0" fontId="62" fillId="0" borderId="22" xfId="0" applyFont="1" applyBorder="1" applyAlignment="1">
      <alignment vertical="center" wrapText="1"/>
    </xf>
    <xf numFmtId="0" fontId="56" fillId="0" borderId="22" xfId="0" applyFont="1" applyBorder="1" applyAlignment="1">
      <alignment vertical="center"/>
    </xf>
    <xf numFmtId="185" fontId="55" fillId="0" borderId="0" xfId="0" applyNumberFormat="1" applyFont="1" applyAlignment="1">
      <alignment vertical="center"/>
    </xf>
    <xf numFmtId="176" fontId="52" fillId="0" borderId="189" xfId="0" applyNumberFormat="1" applyFont="1" applyBorder="1" applyAlignment="1">
      <alignment horizontal="center" vertical="center"/>
    </xf>
    <xf numFmtId="176" fontId="52" fillId="0" borderId="190" xfId="0" applyNumberFormat="1" applyFont="1" applyBorder="1" applyAlignment="1">
      <alignment horizontal="center" vertical="center"/>
    </xf>
    <xf numFmtId="176" fontId="52" fillId="0" borderId="191" xfId="0" applyNumberFormat="1" applyFont="1" applyBorder="1" applyAlignment="1">
      <alignment horizontal="center" vertical="center"/>
    </xf>
    <xf numFmtId="181" fontId="52" fillId="0" borderId="2" xfId="0" applyNumberFormat="1" applyFont="1" applyBorder="1" applyAlignment="1">
      <alignment vertical="center"/>
    </xf>
    <xf numFmtId="0" fontId="56" fillId="9" borderId="192" xfId="0" applyFont="1" applyFill="1" applyBorder="1" applyAlignment="1">
      <alignment horizontal="center" vertical="center"/>
    </xf>
    <xf numFmtId="0" fontId="63" fillId="0" borderId="193" xfId="0" applyFont="1" applyBorder="1" applyAlignment="1" applyProtection="1">
      <alignment horizontal="center" vertical="center"/>
      <protection locked="0"/>
    </xf>
    <xf numFmtId="0" fontId="63" fillId="0" borderId="194" xfId="0" applyFont="1" applyBorder="1" applyAlignment="1" applyProtection="1">
      <alignment horizontal="center" vertical="center"/>
      <protection locked="0"/>
    </xf>
    <xf numFmtId="0" fontId="56" fillId="9" borderId="195" xfId="0" applyFont="1" applyFill="1" applyBorder="1" applyAlignment="1">
      <alignment horizontal="center" vertical="center"/>
    </xf>
    <xf numFmtId="0" fontId="63" fillId="0" borderId="64" xfId="0" applyFont="1" applyBorder="1" applyAlignment="1" applyProtection="1">
      <alignment horizontal="center" vertical="center"/>
      <protection locked="0"/>
    </xf>
    <xf numFmtId="0" fontId="63" fillId="0" borderId="196" xfId="0" applyFont="1" applyBorder="1" applyAlignment="1" applyProtection="1">
      <alignment horizontal="center" vertical="center"/>
      <protection locked="0"/>
    </xf>
    <xf numFmtId="0" fontId="56" fillId="9" borderId="197" xfId="0" applyFont="1" applyFill="1" applyBorder="1" applyAlignment="1">
      <alignment horizontal="center" vertical="center"/>
    </xf>
    <xf numFmtId="0" fontId="63" fillId="0" borderId="198" xfId="0" applyFont="1" applyBorder="1" applyAlignment="1" applyProtection="1">
      <alignment horizontal="center" vertical="center"/>
      <protection locked="0"/>
    </xf>
    <xf numFmtId="0" fontId="63" fillId="0" borderId="199" xfId="0" applyFont="1" applyBorder="1" applyAlignment="1" applyProtection="1">
      <alignment horizontal="center" vertical="center"/>
      <protection locked="0"/>
    </xf>
    <xf numFmtId="0" fontId="0" fillId="0" borderId="0" xfId="0" applyProtection="1">
      <protection locked="0"/>
    </xf>
    <xf numFmtId="0" fontId="40" fillId="0" borderId="0" xfId="0" applyFont="1" applyProtection="1">
      <protection locked="0"/>
    </xf>
    <xf numFmtId="186" fontId="0" fillId="0" borderId="0" xfId="0" applyNumberFormat="1" applyProtection="1">
      <protection locked="0"/>
    </xf>
    <xf numFmtId="0"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1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3" borderId="0" xfId="0" applyNumberFormat="1" applyFill="1" applyAlignment="1" applyProtection="1">
      <alignment vertical="center" shrinkToFit="1"/>
      <protection locked="0"/>
    </xf>
    <xf numFmtId="0" fontId="64" fillId="3" borderId="99" xfId="0" applyFont="1" applyFill="1" applyBorder="1" applyAlignment="1" applyProtection="1">
      <alignment horizontal="left" vertical="top" wrapText="1"/>
      <protection locked="0"/>
    </xf>
    <xf numFmtId="0" fontId="0" fillId="3" borderId="125" xfId="0" applyFill="1" applyBorder="1" applyAlignment="1" applyProtection="1">
      <alignment horizontal="center" vertical="center"/>
      <protection locked="0"/>
    </xf>
    <xf numFmtId="0" fontId="0" fillId="3" borderId="126" xfId="0" applyFill="1" applyBorder="1" applyAlignment="1" applyProtection="1">
      <alignment horizontal="center" vertical="center"/>
      <protection locked="0"/>
    </xf>
    <xf numFmtId="0" fontId="0" fillId="3" borderId="200" xfId="0" applyFill="1" applyBorder="1" applyAlignment="1" applyProtection="1">
      <alignment horizontal="center" vertical="center"/>
      <protection locked="0"/>
    </xf>
    <xf numFmtId="0" fontId="0" fillId="3" borderId="201" xfId="0" applyFill="1" applyBorder="1" applyAlignment="1" applyProtection="1">
      <protection locked="0"/>
    </xf>
    <xf numFmtId="0" fontId="0" fillId="3" borderId="202" xfId="0" applyFill="1" applyBorder="1" applyAlignment="1" applyProtection="1">
      <protection locked="0"/>
    </xf>
    <xf numFmtId="0" fontId="0" fillId="3" borderId="203" xfId="0" applyFill="1" applyBorder="1" applyAlignment="1" applyProtection="1">
      <protection locked="0"/>
    </xf>
    <xf numFmtId="0" fontId="0" fillId="3" borderId="93" xfId="0" applyFill="1" applyBorder="1" applyAlignment="1" applyProtection="1">
      <protection locked="0"/>
    </xf>
    <xf numFmtId="0" fontId="0" fillId="3" borderId="0" xfId="0" applyFill="1" applyBorder="1" applyAlignment="1" applyProtection="1">
      <protection locked="0"/>
    </xf>
    <xf numFmtId="0" fontId="20" fillId="0" borderId="0" xfId="0" applyFont="1" applyAlignment="1" applyProtection="1">
      <alignment vertical="center"/>
      <protection locked="0"/>
    </xf>
    <xf numFmtId="0" fontId="0" fillId="0" borderId="6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5" fillId="0" borderId="64" xfId="0" applyFont="1" applyBorder="1" applyAlignment="1" applyProtection="1">
      <alignment horizontal="center"/>
      <protection locked="0"/>
    </xf>
    <xf numFmtId="0" fontId="0" fillId="0" borderId="64" xfId="0" applyBorder="1" applyAlignment="1" applyProtection="1">
      <alignment horizontal="center"/>
      <protection locked="0"/>
    </xf>
    <xf numFmtId="0" fontId="0" fillId="0" borderId="64" xfId="0" applyBorder="1" applyAlignment="1" applyProtection="1">
      <alignment horizontal="center" vertical="center"/>
      <protection locked="0"/>
    </xf>
    <xf numFmtId="0" fontId="65" fillId="3" borderId="8" xfId="0" applyNumberFormat="1" applyFont="1" applyFill="1" applyBorder="1" applyAlignment="1" applyProtection="1">
      <alignment horizontal="center" vertical="center" shrinkToFit="1"/>
    </xf>
    <xf numFmtId="0" fontId="0" fillId="3" borderId="20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05" xfId="0" applyFill="1" applyBorder="1" applyAlignment="1" applyProtection="1">
      <alignment horizontal="center" vertical="center"/>
      <protection locked="0"/>
    </xf>
    <xf numFmtId="0" fontId="0" fillId="3" borderId="205" xfId="0" applyFill="1" applyBorder="1" applyAlignment="1" applyProtection="1"/>
    <xf numFmtId="0" fontId="0" fillId="3" borderId="139" xfId="0" applyFill="1" applyBorder="1" applyAlignment="1" applyProtection="1"/>
    <xf numFmtId="0" fontId="0" fillId="3" borderId="139" xfId="0" applyFill="1" applyBorder="1" applyAlignment="1" applyProtection="1">
      <protection locked="0"/>
    </xf>
    <xf numFmtId="0" fontId="0" fillId="3" borderId="141" xfId="0" applyFill="1" applyBorder="1" applyAlignment="1" applyProtection="1"/>
    <xf numFmtId="0" fontId="0" fillId="3" borderId="85" xfId="0" applyFill="1" applyBorder="1" applyAlignment="1" applyProtection="1">
      <protection locked="0"/>
    </xf>
    <xf numFmtId="0" fontId="20" fillId="0" borderId="206" xfId="7" applyFont="1" applyFill="1" applyBorder="1" applyAlignment="1" applyProtection="1">
      <alignment horizontal="center"/>
      <protection locked="0"/>
    </xf>
    <xf numFmtId="0" fontId="20" fillId="0" borderId="207" xfId="7" applyFont="1" applyFill="1" applyBorder="1" applyAlignment="1" applyProtection="1">
      <alignment horizontal="left" wrapText="1"/>
      <protection locked="0"/>
    </xf>
    <xf numFmtId="0" fontId="20" fillId="0" borderId="208" xfId="7" applyFont="1" applyFill="1" applyBorder="1" applyAlignment="1" applyProtection="1">
      <alignment horizontal="left" wrapText="1"/>
      <protection locked="0"/>
    </xf>
    <xf numFmtId="0" fontId="20" fillId="0" borderId="209" xfId="7" applyFont="1" applyFill="1" applyBorder="1" applyAlignment="1" applyProtection="1">
      <alignment horizontal="left" wrapText="1"/>
      <protection locked="0"/>
    </xf>
    <xf numFmtId="0" fontId="0" fillId="0" borderId="144" xfId="0" applyBorder="1" applyAlignment="1" applyProtection="1">
      <alignment horizontal="center" vertical="center"/>
      <protection locked="0"/>
    </xf>
    <xf numFmtId="0" fontId="0" fillId="0" borderId="210"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15" fillId="0" borderId="22" xfId="0" applyFont="1" applyBorder="1" applyAlignment="1" applyProtection="1">
      <alignment horizontal="center"/>
      <protection locked="0"/>
    </xf>
    <xf numFmtId="0" fontId="0" fillId="0" borderId="22" xfId="0" applyBorder="1" applyAlignment="1" applyProtection="1">
      <alignment horizontal="center"/>
      <protection locked="0"/>
    </xf>
    <xf numFmtId="0" fontId="0" fillId="0" borderId="22" xfId="0" applyBorder="1" applyAlignment="1" applyProtection="1">
      <alignment horizontal="center" vertical="center"/>
      <protection locked="0"/>
    </xf>
    <xf numFmtId="0" fontId="65" fillId="3" borderId="32" xfId="0" applyNumberFormat="1" applyFont="1" applyFill="1" applyBorder="1" applyAlignment="1" applyProtection="1">
      <alignment horizontal="center" vertical="center" shrinkToFit="1"/>
    </xf>
    <xf numFmtId="0" fontId="0" fillId="3" borderId="100" xfId="0" applyFill="1" applyBorder="1" applyAlignment="1" applyProtection="1">
      <alignment horizontal="center" vertical="center"/>
      <protection locked="0"/>
    </xf>
    <xf numFmtId="0" fontId="66" fillId="3" borderId="121" xfId="0" applyFont="1" applyFill="1" applyBorder="1" applyAlignment="1" applyProtection="1">
      <alignment horizontal="center" vertical="center" textRotation="255"/>
      <protection locked="0"/>
    </xf>
    <xf numFmtId="0" fontId="66" fillId="3" borderId="211" xfId="0" applyFont="1" applyFill="1" applyBorder="1" applyAlignment="1" applyProtection="1">
      <alignment horizontal="center" vertical="center" textRotation="255"/>
      <protection locked="0"/>
    </xf>
    <xf numFmtId="0" fontId="58" fillId="0" borderId="212" xfId="0" applyFont="1" applyBorder="1" applyAlignment="1" applyProtection="1">
      <protection locked="0"/>
    </xf>
    <xf numFmtId="0" fontId="58" fillId="0" borderId="29" xfId="0" applyFont="1" applyBorder="1" applyAlignment="1" applyProtection="1">
      <protection locked="0"/>
    </xf>
    <xf numFmtId="0" fontId="0" fillId="0" borderId="212" xfId="0" applyBorder="1" applyAlignment="1" applyProtection="1">
      <protection locked="0"/>
    </xf>
    <xf numFmtId="0" fontId="0" fillId="0" borderId="29" xfId="0" applyBorder="1" applyAlignment="1" applyProtection="1">
      <protection locked="0"/>
    </xf>
    <xf numFmtId="0" fontId="0" fillId="0" borderId="30" xfId="0" applyBorder="1" applyAlignment="1" applyProtection="1">
      <protection locked="0"/>
    </xf>
    <xf numFmtId="187" fontId="0" fillId="3" borderId="213" xfId="0" applyNumberFormat="1" applyFill="1" applyBorder="1" applyAlignment="1" applyProtection="1"/>
    <xf numFmtId="187" fontId="0" fillId="3" borderId="0" xfId="0" applyNumberFormat="1" applyFill="1" applyBorder="1" applyAlignment="1" applyProtection="1">
      <protection locked="0"/>
    </xf>
    <xf numFmtId="0" fontId="20" fillId="0" borderId="214" xfId="7" applyFont="1" applyFill="1" applyBorder="1" applyAlignment="1" applyProtection="1">
      <alignment horizontal="center"/>
      <protection locked="0"/>
    </xf>
    <xf numFmtId="0" fontId="20" fillId="0" borderId="2" xfId="7" applyFont="1" applyFill="1" applyBorder="1" applyAlignment="1" applyProtection="1">
      <alignment horizontal="left" wrapText="1"/>
      <protection locked="0"/>
    </xf>
    <xf numFmtId="0" fontId="20" fillId="0" borderId="177" xfId="7" applyFont="1" applyFill="1" applyBorder="1" applyAlignment="1" applyProtection="1">
      <alignment horizontal="left" wrapText="1"/>
      <protection locked="0"/>
    </xf>
    <xf numFmtId="0" fontId="0" fillId="0" borderId="137" xfId="0" applyBorder="1" applyAlignment="1" applyProtection="1">
      <alignment horizontal="center" vertical="center" wrapText="1"/>
      <protection locked="0"/>
    </xf>
    <xf numFmtId="0" fontId="0" fillId="0" borderId="129"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15" xfId="0" applyBorder="1" applyAlignment="1" applyProtection="1">
      <alignment horizontal="center" wrapText="1"/>
      <protection locked="0"/>
    </xf>
    <xf numFmtId="0" fontId="0" fillId="3" borderId="216" xfId="0" applyFill="1" applyBorder="1" applyAlignment="1" applyProtection="1">
      <alignment horizontal="center" vertical="center"/>
      <protection locked="0"/>
    </xf>
    <xf numFmtId="0" fontId="0" fillId="3" borderId="78" xfId="0" applyFill="1" applyBorder="1" applyAlignment="1" applyProtection="1">
      <alignment horizontal="center" vertical="center"/>
      <protection locked="0"/>
    </xf>
    <xf numFmtId="0" fontId="0" fillId="3" borderId="212" xfId="0" applyFill="1" applyBorder="1" applyAlignment="1" applyProtection="1">
      <alignment horizontal="center" vertical="center"/>
      <protection locked="0"/>
    </xf>
    <xf numFmtId="0" fontId="58" fillId="3" borderId="212" xfId="0" applyFont="1" applyFill="1" applyBorder="1" applyAlignment="1" applyProtection="1">
      <protection locked="0"/>
    </xf>
    <xf numFmtId="0" fontId="58" fillId="3" borderId="29" xfId="0" applyFont="1" applyFill="1" applyBorder="1" applyAlignment="1" applyProtection="1">
      <protection locked="0"/>
    </xf>
    <xf numFmtId="0" fontId="0" fillId="3" borderId="29" xfId="0" applyFill="1" applyBorder="1" applyAlignment="1" applyProtection="1">
      <protection locked="0"/>
    </xf>
    <xf numFmtId="0" fontId="0" fillId="3" borderId="212" xfId="0" applyFill="1" applyBorder="1" applyAlignment="1" applyProtection="1">
      <protection locked="0"/>
    </xf>
    <xf numFmtId="0" fontId="0" fillId="3" borderId="30" xfId="0" applyFill="1" applyBorder="1" applyAlignment="1" applyProtection="1">
      <protection locked="0"/>
    </xf>
    <xf numFmtId="187" fontId="0" fillId="3" borderId="213" xfId="0" applyNumberFormat="1" applyFill="1" applyBorder="1" applyAlignment="1" applyProtection="1">
      <protection locked="0"/>
    </xf>
    <xf numFmtId="0" fontId="20" fillId="0" borderId="2" xfId="7" applyFont="1" applyFill="1" applyBorder="1" applyAlignment="1" applyProtection="1">
      <alignment horizontal="right" wrapText="1"/>
      <protection locked="0"/>
    </xf>
    <xf numFmtId="0" fontId="20" fillId="0" borderId="177" xfId="7" applyFont="1" applyFill="1" applyBorder="1" applyAlignment="1" applyProtection="1">
      <alignment horizontal="right" wrapText="1"/>
      <protection locked="0"/>
    </xf>
    <xf numFmtId="0" fontId="0" fillId="0" borderId="144" xfId="0" applyBorder="1" applyAlignment="1" applyProtection="1">
      <alignment horizontal="center" vertical="center" wrapText="1"/>
      <protection locked="0"/>
    </xf>
    <xf numFmtId="0" fontId="0" fillId="0" borderId="210" xfId="0" applyBorder="1" applyAlignment="1" applyProtection="1">
      <alignment horizontal="center" vertical="center" wrapText="1"/>
      <protection locked="0"/>
    </xf>
    <xf numFmtId="0" fontId="0" fillId="0" borderId="89" xfId="0" applyBorder="1" applyAlignment="1" applyProtection="1">
      <alignment horizontal="center" vertical="center" wrapText="1"/>
      <protection locked="0"/>
    </xf>
    <xf numFmtId="0" fontId="0" fillId="0" borderId="217" xfId="0" applyBorder="1" applyAlignment="1" applyProtection="1">
      <alignment horizontal="center" wrapText="1"/>
      <protection locked="0"/>
    </xf>
    <xf numFmtId="0" fontId="66" fillId="3" borderId="218" xfId="0" applyFont="1" applyFill="1" applyBorder="1" applyAlignment="1" applyProtection="1">
      <alignment horizontal="center" vertical="center" textRotation="255"/>
      <protection locked="0"/>
    </xf>
    <xf numFmtId="0" fontId="66" fillId="3" borderId="219" xfId="0" applyFont="1" applyFill="1" applyBorder="1" applyAlignment="1" applyProtection="1">
      <alignment horizontal="center" vertical="center" textRotation="255"/>
      <protection locked="0"/>
    </xf>
    <xf numFmtId="0" fontId="0" fillId="0" borderId="88" xfId="0" applyFill="1" applyBorder="1" applyAlignment="1" applyProtection="1">
      <alignment horizontal="center" vertical="center" wrapText="1"/>
      <protection locked="0"/>
    </xf>
    <xf numFmtId="180" fontId="15" fillId="0" borderId="1" xfId="0" applyNumberFormat="1" applyFont="1" applyBorder="1" applyAlignment="1" applyProtection="1">
      <alignment horizontal="center"/>
      <protection locked="0"/>
    </xf>
    <xf numFmtId="180" fontId="0" fillId="0" borderId="1" xfId="0" applyNumberFormat="1" applyBorder="1" applyAlignment="1" applyProtection="1">
      <alignment horizontal="center"/>
      <protection locked="0"/>
    </xf>
    <xf numFmtId="0" fontId="65" fillId="3" borderId="34" xfId="0" applyNumberFormat="1" applyFont="1" applyFill="1" applyBorder="1" applyAlignment="1" applyProtection="1">
      <alignment horizontal="center" vertical="center" shrinkToFit="1"/>
    </xf>
    <xf numFmtId="0" fontId="0" fillId="3" borderId="220" xfId="0" applyFill="1" applyBorder="1" applyAlignment="1" applyProtection="1">
      <alignment horizontal="center" vertical="center"/>
      <protection locked="0"/>
    </xf>
    <xf numFmtId="0" fontId="0" fillId="3" borderId="221" xfId="0" applyFill="1" applyBorder="1" applyAlignment="1" applyProtection="1">
      <alignment horizontal="center" vertical="center"/>
      <protection locked="0"/>
    </xf>
    <xf numFmtId="0" fontId="0" fillId="3" borderId="222" xfId="0" applyFill="1" applyBorder="1" applyAlignment="1" applyProtection="1">
      <alignment horizontal="center" vertical="center"/>
      <protection locked="0"/>
    </xf>
    <xf numFmtId="10" fontId="0" fillId="3" borderId="223" xfId="0" applyNumberFormat="1" applyFill="1" applyBorder="1" applyAlignment="1" applyProtection="1"/>
    <xf numFmtId="10" fontId="0" fillId="3" borderId="42" xfId="0" applyNumberFormat="1" applyFill="1" applyBorder="1" applyAlignment="1" applyProtection="1"/>
    <xf numFmtId="10" fontId="0" fillId="3" borderId="42" xfId="0" applyNumberFormat="1" applyFill="1" applyBorder="1" applyAlignment="1" applyProtection="1">
      <protection locked="0"/>
    </xf>
    <xf numFmtId="10" fontId="0" fillId="3" borderId="43" xfId="0" applyNumberFormat="1" applyFill="1" applyBorder="1" applyAlignment="1" applyProtection="1"/>
    <xf numFmtId="10" fontId="0" fillId="3" borderId="224" xfId="0" applyNumberFormat="1" applyFill="1" applyBorder="1" applyAlignment="1" applyProtection="1"/>
    <xf numFmtId="10" fontId="0" fillId="3" borderId="0" xfId="0" applyNumberFormat="1" applyFill="1" applyBorder="1" applyAlignment="1" applyProtection="1">
      <protection locked="0"/>
    </xf>
    <xf numFmtId="180" fontId="15" fillId="0" borderId="22" xfId="0" applyNumberFormat="1" applyFont="1" applyBorder="1" applyAlignment="1" applyProtection="1">
      <alignment horizontal="center"/>
      <protection locked="0"/>
    </xf>
    <xf numFmtId="180" fontId="0" fillId="0" borderId="22" xfId="0" applyNumberFormat="1" applyBorder="1" applyAlignment="1" applyProtection="1">
      <alignment horizontal="center"/>
      <protection locked="0"/>
    </xf>
    <xf numFmtId="0" fontId="0" fillId="0" borderId="225" xfId="0" applyBorder="1" applyAlignment="1" applyProtection="1">
      <alignment horizontal="center" wrapText="1"/>
      <protection locked="0"/>
    </xf>
    <xf numFmtId="0" fontId="0" fillId="3" borderId="128" xfId="0" applyFill="1" applyBorder="1" applyAlignment="1" applyProtection="1">
      <alignment horizontal="center" vertical="center"/>
      <protection locked="0"/>
    </xf>
    <xf numFmtId="0" fontId="0" fillId="3" borderId="226" xfId="0" applyFill="1" applyBorder="1" applyAlignment="1" applyProtection="1">
      <alignment horizontal="center" vertical="center"/>
      <protection locked="0"/>
    </xf>
    <xf numFmtId="0" fontId="0" fillId="3" borderId="227" xfId="0" applyFill="1" applyBorder="1" applyAlignment="1" applyProtection="1">
      <alignment horizontal="center" vertical="center"/>
      <protection locked="0"/>
    </xf>
    <xf numFmtId="38" fontId="0" fillId="3" borderId="101" xfId="11" applyFont="1" applyFill="1" applyBorder="1" applyAlignment="1" applyProtection="1">
      <alignment horizontal="right"/>
    </xf>
    <xf numFmtId="38" fontId="0" fillId="3" borderId="211" xfId="11" applyFont="1" applyFill="1" applyBorder="1" applyAlignment="1" applyProtection="1">
      <alignment horizontal="right"/>
    </xf>
    <xf numFmtId="38" fontId="0" fillId="3" borderId="228" xfId="0" applyNumberFormat="1" applyFill="1" applyBorder="1" applyAlignment="1" applyProtection="1">
      <protection locked="0"/>
    </xf>
    <xf numFmtId="38" fontId="0" fillId="3" borderId="0" xfId="0" applyNumberFormat="1" applyFill="1" applyBorder="1" applyAlignment="1" applyProtection="1">
      <protection locked="0"/>
    </xf>
    <xf numFmtId="188" fontId="20" fillId="0" borderId="2" xfId="7" applyNumberFormat="1" applyFont="1" applyFill="1" applyBorder="1" applyAlignment="1" applyProtection="1">
      <alignment horizontal="right" wrapText="1"/>
      <protection locked="0"/>
    </xf>
    <xf numFmtId="188" fontId="20" fillId="0" borderId="177" xfId="7" applyNumberFormat="1" applyFont="1" applyFill="1" applyBorder="1" applyAlignment="1" applyProtection="1">
      <alignment horizontal="right" wrapText="1"/>
      <protection locked="0"/>
    </xf>
    <xf numFmtId="0" fontId="20" fillId="10" borderId="3" xfId="9" applyNumberFormat="1" applyFont="1" applyFill="1" applyBorder="1" applyAlignment="1">
      <alignment horizontal="center" vertical="center" shrinkToFit="1"/>
    </xf>
    <xf numFmtId="0" fontId="0" fillId="0" borderId="229" xfId="0" applyBorder="1" applyAlignment="1" applyProtection="1">
      <alignment horizontal="center" wrapText="1"/>
      <protection locked="0"/>
    </xf>
    <xf numFmtId="0" fontId="0" fillId="3" borderId="175"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38" fontId="0" fillId="3" borderId="29" xfId="11" applyFont="1" applyFill="1" applyBorder="1" applyAlignment="1" applyProtection="1">
      <alignment horizontal="right"/>
    </xf>
    <xf numFmtId="38" fontId="0" fillId="3" borderId="212" xfId="11" applyFont="1" applyFill="1" applyBorder="1" applyAlignment="1" applyProtection="1">
      <alignment horizontal="right"/>
    </xf>
    <xf numFmtId="38" fontId="0" fillId="3" borderId="213" xfId="0" applyNumberFormat="1" applyFill="1" applyBorder="1" applyAlignment="1" applyProtection="1">
      <protection locked="0"/>
    </xf>
    <xf numFmtId="0" fontId="20" fillId="0" borderId="0" xfId="7" applyFont="1" applyFill="1" applyBorder="1" applyAlignment="1" applyProtection="1">
      <alignment horizontal="center"/>
      <protection locked="0"/>
    </xf>
    <xf numFmtId="188" fontId="20" fillId="0" borderId="0" xfId="7" applyNumberFormat="1" applyFont="1" applyFill="1" applyBorder="1" applyAlignment="1" applyProtection="1">
      <alignment horizontal="right" wrapText="1"/>
      <protection locked="0"/>
    </xf>
    <xf numFmtId="14" fontId="20" fillId="10" borderId="3" xfId="9" applyNumberFormat="1" applyFont="1" applyFill="1" applyBorder="1" applyAlignment="1">
      <alignment horizontal="center" vertical="center" shrinkToFit="1"/>
    </xf>
    <xf numFmtId="0" fontId="0" fillId="0" borderId="2" xfId="0" applyBorder="1" applyAlignment="1" applyProtection="1">
      <alignment horizontal="center" vertical="center" wrapText="1"/>
      <protection locked="0"/>
    </xf>
    <xf numFmtId="38" fontId="0" fillId="0" borderId="2" xfId="11" applyFont="1" applyBorder="1" applyAlignment="1" applyProtection="1">
      <protection locked="0"/>
    </xf>
    <xf numFmtId="0" fontId="0" fillId="0" borderId="187" xfId="0" applyBorder="1" applyAlignment="1" applyProtection="1">
      <protection locked="0"/>
    </xf>
    <xf numFmtId="0" fontId="0" fillId="3" borderId="230" xfId="0" applyFill="1" applyBorder="1" applyAlignment="1" applyProtection="1">
      <alignment horizontal="center" vertical="center"/>
      <protection locked="0"/>
    </xf>
    <xf numFmtId="0" fontId="0" fillId="3" borderId="223" xfId="0" applyFill="1" applyBorder="1" applyAlignment="1" applyProtection="1">
      <alignment horizontal="center" vertical="center"/>
      <protection locked="0"/>
    </xf>
    <xf numFmtId="0" fontId="0" fillId="3" borderId="213" xfId="0" applyFill="1" applyBorder="1" applyAlignment="1" applyProtection="1">
      <protection locked="0"/>
    </xf>
    <xf numFmtId="0" fontId="67" fillId="3" borderId="99" xfId="0" applyFont="1" applyFill="1" applyBorder="1" applyAlignment="1" applyProtection="1">
      <alignment vertical="top" wrapText="1"/>
      <protection locked="0"/>
    </xf>
    <xf numFmtId="38" fontId="0" fillId="3" borderId="78" xfId="0" applyNumberFormat="1" applyFill="1" applyBorder="1" applyAlignment="1" applyProtection="1">
      <alignment horizontal="center" vertical="center"/>
    </xf>
    <xf numFmtId="0" fontId="0" fillId="3" borderId="212" xfId="0" applyFill="1" applyBorder="1" applyAlignment="1" applyProtection="1">
      <alignment horizontal="center" vertical="center"/>
    </xf>
    <xf numFmtId="38" fontId="0" fillId="3" borderId="212" xfId="11" applyFont="1" applyFill="1" applyBorder="1" applyAlignment="1" applyProtection="1">
      <alignment horizontal="right"/>
      <protection locked="0"/>
    </xf>
    <xf numFmtId="38" fontId="0" fillId="3" borderId="29" xfId="11" applyFont="1" applyFill="1" applyBorder="1" applyAlignment="1" applyProtection="1">
      <alignment horizontal="right"/>
      <protection locked="0"/>
    </xf>
    <xf numFmtId="38" fontId="0" fillId="3" borderId="30" xfId="11" applyFont="1" applyFill="1" applyBorder="1" applyAlignment="1" applyProtection="1">
      <alignment horizontal="right"/>
      <protection locked="0"/>
    </xf>
    <xf numFmtId="38" fontId="0" fillId="3" borderId="218" xfId="0" applyNumberFormat="1" applyFill="1" applyBorder="1" applyAlignment="1" applyProtection="1">
      <alignment horizontal="center" vertical="center" shrinkToFit="1"/>
      <protection locked="0"/>
    </xf>
    <xf numFmtId="38" fontId="0" fillId="3" borderId="219" xfId="0" applyNumberFormat="1" applyFill="1" applyBorder="1" applyAlignment="1" applyProtection="1">
      <alignment horizontal="center" vertical="center" shrinkToFit="1"/>
      <protection locked="0"/>
    </xf>
    <xf numFmtId="38" fontId="0" fillId="3" borderId="212" xfId="11" applyFont="1" applyFill="1" applyBorder="1" applyAlignment="1" applyProtection="1">
      <protection locked="0"/>
    </xf>
    <xf numFmtId="38" fontId="0" fillId="3" borderId="29" xfId="11" applyFont="1" applyFill="1" applyBorder="1" applyAlignment="1" applyProtection="1">
      <protection locked="0"/>
    </xf>
    <xf numFmtId="38" fontId="0" fillId="3" borderId="30" xfId="11" applyFont="1" applyFill="1" applyBorder="1" applyAlignment="1" applyProtection="1">
      <protection locked="0"/>
    </xf>
    <xf numFmtId="0" fontId="0" fillId="3" borderId="231" xfId="0" applyFill="1" applyBorder="1" applyAlignment="1" applyProtection="1">
      <protection locked="0"/>
    </xf>
    <xf numFmtId="38" fontId="0" fillId="9" borderId="2" xfId="11" applyFont="1" applyFill="1" applyBorder="1" applyAlignment="1" applyProtection="1"/>
    <xf numFmtId="0" fontId="0" fillId="3" borderId="230" xfId="0" applyFill="1" applyBorder="1" applyAlignment="1" applyProtection="1">
      <alignment horizontal="center" vertical="center" wrapText="1"/>
      <protection locked="0"/>
    </xf>
    <xf numFmtId="0" fontId="0" fillId="3" borderId="223" xfId="0" applyFill="1" applyBorder="1" applyAlignment="1" applyProtection="1">
      <alignment horizontal="center" vertical="center" wrapText="1"/>
      <protection locked="0"/>
    </xf>
    <xf numFmtId="0" fontId="0" fillId="0" borderId="42" xfId="0" applyFont="1" applyFill="1" applyBorder="1" applyAlignment="1" applyProtection="1">
      <alignment horizontal="center"/>
      <protection locked="0"/>
    </xf>
    <xf numFmtId="0" fontId="0" fillId="0" borderId="223" xfId="0" applyFont="1" applyFill="1" applyBorder="1" applyAlignment="1" applyProtection="1">
      <alignment horizontal="center"/>
      <protection locked="0"/>
    </xf>
    <xf numFmtId="0" fontId="0" fillId="3" borderId="232" xfId="0" applyFill="1" applyBorder="1" applyAlignment="1" applyProtection="1"/>
    <xf numFmtId="0" fontId="0" fillId="3" borderId="133" xfId="0" applyFill="1" applyBorder="1" applyAlignment="1" applyProtection="1">
      <alignment horizontal="center" vertical="center"/>
      <protection locked="0"/>
    </xf>
    <xf numFmtId="0" fontId="0" fillId="3" borderId="123" xfId="0" applyFill="1" applyBorder="1" applyAlignment="1" applyProtection="1">
      <alignment horizontal="center" vertical="center" wrapText="1"/>
      <protection locked="0"/>
    </xf>
    <xf numFmtId="0" fontId="0" fillId="3" borderId="233" xfId="0" applyFill="1" applyBorder="1" applyAlignment="1" applyProtection="1">
      <alignment horizontal="center" vertical="center" wrapText="1"/>
      <protection locked="0"/>
    </xf>
    <xf numFmtId="0" fontId="0" fillId="0" borderId="114" xfId="0" applyFont="1" applyFill="1" applyBorder="1" applyAlignment="1" applyProtection="1">
      <alignment horizontal="center"/>
      <protection locked="0"/>
    </xf>
    <xf numFmtId="0" fontId="0" fillId="0" borderId="233" xfId="0" applyFont="1" applyFill="1" applyBorder="1" applyAlignment="1" applyProtection="1">
      <alignment horizontal="center"/>
      <protection locked="0"/>
    </xf>
    <xf numFmtId="0" fontId="0" fillId="3" borderId="234" xfId="0" applyFill="1" applyBorder="1" applyAlignment="1" applyProtection="1">
      <protection locked="0"/>
    </xf>
    <xf numFmtId="0" fontId="0" fillId="3" borderId="127" xfId="0" applyFill="1" applyBorder="1" applyAlignment="1" applyProtection="1">
      <alignment horizontal="center" vertical="center"/>
      <protection locked="0"/>
    </xf>
    <xf numFmtId="0" fontId="0" fillId="3" borderId="124" xfId="0" applyFill="1" applyBorder="1" applyAlignment="1" applyProtection="1">
      <alignment horizontal="center" vertical="center"/>
      <protection locked="0"/>
    </xf>
    <xf numFmtId="0" fontId="0" fillId="3" borderId="201" xfId="0" applyFill="1" applyBorder="1" applyAlignment="1" applyProtection="1">
      <alignment horizontal="center" vertical="center"/>
      <protection locked="0"/>
    </xf>
    <xf numFmtId="38" fontId="68" fillId="10" borderId="202" xfId="0" applyNumberFormat="1" applyFont="1" applyFill="1" applyBorder="1" applyAlignment="1" applyProtection="1">
      <alignment horizontal="right"/>
    </xf>
    <xf numFmtId="38" fontId="68" fillId="10" borderId="201" xfId="0" applyNumberFormat="1" applyFont="1" applyFill="1" applyBorder="1" applyAlignment="1" applyProtection="1">
      <alignment horizontal="right"/>
    </xf>
    <xf numFmtId="38" fontId="68" fillId="10" borderId="203" xfId="0" applyNumberFormat="1" applyFont="1" applyFill="1" applyBorder="1" applyAlignment="1" applyProtection="1">
      <alignment horizontal="right"/>
    </xf>
    <xf numFmtId="38" fontId="0" fillId="3" borderId="235" xfId="0" applyNumberFormat="1" applyFill="1" applyBorder="1" applyAlignment="1" applyProtection="1">
      <alignment horizontal="right"/>
    </xf>
    <xf numFmtId="38" fontId="0" fillId="3" borderId="0" xfId="0" applyNumberFormat="1" applyFill="1" applyBorder="1" applyAlignment="1" applyProtection="1">
      <alignment horizontal="right"/>
      <protection locked="0"/>
    </xf>
    <xf numFmtId="0" fontId="0" fillId="9" borderId="2" xfId="0" applyFill="1" applyBorder="1" applyAlignment="1" applyProtection="1">
      <alignment horizontal="center"/>
      <protection locked="0"/>
    </xf>
    <xf numFmtId="38" fontId="68" fillId="10" borderId="29" xfId="0" applyNumberFormat="1" applyFont="1" applyFill="1" applyBorder="1" applyAlignment="1" applyProtection="1">
      <alignment horizontal="right"/>
    </xf>
    <xf numFmtId="38" fontId="68" fillId="10" borderId="212" xfId="0" applyNumberFormat="1" applyFont="1" applyFill="1" applyBorder="1" applyAlignment="1" applyProtection="1">
      <alignment horizontal="right"/>
    </xf>
    <xf numFmtId="38" fontId="68" fillId="10" borderId="30" xfId="0" applyNumberFormat="1" applyFont="1" applyFill="1" applyBorder="1" applyAlignment="1" applyProtection="1">
      <alignment horizontal="right"/>
    </xf>
    <xf numFmtId="38" fontId="0" fillId="3" borderId="213" xfId="0" applyNumberFormat="1" applyFill="1" applyBorder="1" applyAlignment="1" applyProtection="1">
      <alignment horizontal="right"/>
    </xf>
    <xf numFmtId="0" fontId="0" fillId="0" borderId="3" xfId="0" applyFill="1" applyBorder="1" applyAlignment="1" applyProtection="1">
      <alignment horizontal="center" vertical="center" textRotation="255" wrapText="1" shrinkToFit="1"/>
      <protection locked="0"/>
    </xf>
    <xf numFmtId="0" fontId="0" fillId="0" borderId="5" xfId="0" applyFill="1" applyBorder="1" applyAlignment="1" applyProtection="1">
      <alignment horizontal="center" vertical="center" textRotation="255" wrapText="1" shrinkToFit="1"/>
      <protection locked="0"/>
    </xf>
    <xf numFmtId="0" fontId="0" fillId="0" borderId="4" xfId="0" applyFill="1" applyBorder="1" applyAlignment="1" applyProtection="1">
      <alignment horizontal="center" vertical="center" textRotation="255" wrapText="1" shrinkToFit="1"/>
      <protection locked="0"/>
    </xf>
    <xf numFmtId="0" fontId="0" fillId="9" borderId="2" xfId="0" applyFill="1" applyBorder="1" applyProtection="1"/>
    <xf numFmtId="0" fontId="0" fillId="0" borderId="187" xfId="0" applyBorder="1" applyProtection="1">
      <protection locked="0"/>
    </xf>
    <xf numFmtId="189" fontId="0" fillId="9" borderId="2" xfId="0" applyNumberFormat="1" applyFill="1" applyBorder="1" applyAlignment="1" applyProtection="1"/>
    <xf numFmtId="0" fontId="0" fillId="3" borderId="134" xfId="0" applyFill="1" applyBorder="1" applyAlignment="1" applyProtection="1">
      <alignment horizontal="center" vertical="center"/>
      <protection locked="0"/>
    </xf>
    <xf numFmtId="0" fontId="0" fillId="3" borderId="233" xfId="0" applyFill="1" applyBorder="1" applyAlignment="1" applyProtection="1">
      <alignment horizontal="center" vertical="center"/>
      <protection locked="0"/>
    </xf>
    <xf numFmtId="38" fontId="68" fillId="10" borderId="114" xfId="0" applyNumberFormat="1" applyFont="1" applyFill="1" applyBorder="1" applyAlignment="1" applyProtection="1">
      <alignment horizontal="right"/>
    </xf>
    <xf numFmtId="38" fontId="68" fillId="10" borderId="233" xfId="0" applyNumberFormat="1" applyFont="1" applyFill="1" applyBorder="1" applyAlignment="1" applyProtection="1">
      <alignment horizontal="right"/>
    </xf>
    <xf numFmtId="38" fontId="68" fillId="10" borderId="115" xfId="0" applyNumberFormat="1" applyFont="1" applyFill="1" applyBorder="1" applyAlignment="1" applyProtection="1">
      <alignment horizontal="right"/>
    </xf>
    <xf numFmtId="38" fontId="0" fillId="3" borderId="234" xfId="0" applyNumberFormat="1" applyFill="1" applyBorder="1" applyAlignment="1" applyProtection="1">
      <alignment horizontal="right"/>
    </xf>
    <xf numFmtId="0" fontId="0" fillId="3" borderId="0" xfId="0" applyFill="1" applyProtection="1">
      <protection locked="0"/>
    </xf>
    <xf numFmtId="0" fontId="0" fillId="3" borderId="0" xfId="0" applyFill="1" applyAlignment="1" applyProtection="1">
      <alignment horizontal="center" vertical="center"/>
      <protection locked="0"/>
    </xf>
    <xf numFmtId="0" fontId="21" fillId="0" borderId="2" xfId="0" applyFont="1" applyFill="1" applyBorder="1" applyAlignment="1" applyProtection="1">
      <alignment horizontal="center" vertical="center" wrapText="1"/>
      <protection locked="0"/>
    </xf>
    <xf numFmtId="183" fontId="0" fillId="7" borderId="2" xfId="0" applyNumberFormat="1" applyFill="1" applyBorder="1" applyProtection="1">
      <protection locked="0"/>
    </xf>
    <xf numFmtId="3" fontId="0" fillId="0" borderId="2" xfId="0" applyNumberFormat="1" applyBorder="1" applyAlignment="1" applyProtection="1">
      <protection locked="0"/>
    </xf>
    <xf numFmtId="3" fontId="0" fillId="9" borderId="2" xfId="0" applyNumberFormat="1" applyFill="1" applyBorder="1" applyAlignment="1" applyProtection="1"/>
    <xf numFmtId="9" fontId="0" fillId="0" borderId="2" xfId="0" applyNumberFormat="1" applyBorder="1" applyAlignment="1" applyProtection="1">
      <protection locked="0"/>
    </xf>
    <xf numFmtId="0" fontId="0" fillId="0" borderId="3"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38" fontId="0" fillId="7" borderId="2" xfId="11" applyFont="1" applyFill="1" applyBorder="1" applyAlignment="1" applyProtection="1">
      <protection locked="0"/>
    </xf>
    <xf numFmtId="38" fontId="0" fillId="7" borderId="2" xfId="11" applyFont="1" applyFill="1" applyBorder="1" applyAlignment="1" applyProtection="1"/>
    <xf numFmtId="0" fontId="40" fillId="0" borderId="0" xfId="0" applyNumberFormat="1" applyFont="1" applyFill="1" applyAlignment="1" applyProtection="1">
      <alignment vertical="center" shrinkToFit="1"/>
      <protection locked="0"/>
    </xf>
    <xf numFmtId="0" fontId="40" fillId="0" borderId="0" xfId="0" applyFont="1" applyFill="1" applyAlignment="1" applyProtection="1">
      <alignment horizontal="center" vertical="center"/>
      <protection locked="0"/>
    </xf>
    <xf numFmtId="38" fontId="0" fillId="0" borderId="2" xfId="11" applyFont="1" applyBorder="1" applyAlignment="1" applyProtection="1"/>
    <xf numFmtId="38" fontId="40" fillId="0" borderId="0" xfId="0" applyNumberFormat="1" applyFont="1" applyFill="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 xfId="0" applyBorder="1" applyAlignment="1" applyProtection="1">
      <protection locked="0"/>
    </xf>
    <xf numFmtId="0" fontId="0" fillId="0" borderId="0" xfId="0" applyFill="1" applyBorder="1" applyAlignment="1" applyProtection="1">
      <alignment horizontal="center" vertical="center" wrapText="1"/>
      <protection locked="0"/>
    </xf>
    <xf numFmtId="0" fontId="0" fillId="0" borderId="0" xfId="0" applyBorder="1" applyAlignment="1" applyProtection="1">
      <protection locked="0"/>
    </xf>
    <xf numFmtId="49" fontId="0" fillId="0" borderId="0" xfId="0" applyNumberFormat="1" applyProtection="1">
      <protection locked="0"/>
    </xf>
    <xf numFmtId="186" fontId="0" fillId="0" borderId="0" xfId="0" applyNumberFormat="1" applyAlignment="1" applyProtection="1">
      <alignment horizontal="center"/>
      <protection locked="0"/>
    </xf>
    <xf numFmtId="184" fontId="0" fillId="0" borderId="0" xfId="0" applyNumberFormat="1" applyProtection="1">
      <protection locked="0"/>
    </xf>
    <xf numFmtId="0" fontId="20" fillId="0" borderId="3" xfId="9" applyNumberFormat="1" applyFont="1" applyFill="1" applyBorder="1" applyAlignment="1">
      <alignment horizontal="center" vertical="center" shrinkToFit="1"/>
    </xf>
    <xf numFmtId="0" fontId="20" fillId="0" borderId="2" xfId="9" applyNumberFormat="1" applyFont="1" applyFill="1" applyBorder="1" applyAlignment="1">
      <alignment horizontal="center" vertical="center" shrinkToFit="1"/>
    </xf>
    <xf numFmtId="190" fontId="0" fillId="0" borderId="0" xfId="0" applyNumberFormat="1"/>
    <xf numFmtId="191" fontId="0" fillId="0" borderId="0" xfId="0" applyNumberFormat="1"/>
    <xf numFmtId="0" fontId="69" fillId="3" borderId="0" xfId="0" applyFont="1" applyFill="1" applyAlignment="1">
      <alignment vertical="center"/>
    </xf>
    <xf numFmtId="0" fontId="70" fillId="3" borderId="0" xfId="0" applyFont="1" applyFill="1"/>
    <xf numFmtId="0" fontId="0" fillId="3" borderId="6" xfId="0" applyFill="1" applyBorder="1" applyAlignment="1">
      <alignment horizontal="left" vertical="top" wrapText="1"/>
    </xf>
    <xf numFmtId="0" fontId="0" fillId="3" borderId="0" xfId="0" applyFill="1" applyAlignment="1">
      <alignment horizontal="left" vertical="top" wrapText="1"/>
    </xf>
    <xf numFmtId="0" fontId="0" fillId="3" borderId="2" xfId="0" applyFill="1" applyBorder="1" applyAlignment="1">
      <alignment horizontal="right"/>
    </xf>
    <xf numFmtId="0" fontId="0" fillId="3" borderId="2" xfId="0" applyFill="1" applyBorder="1"/>
    <xf numFmtId="0" fontId="0" fillId="3" borderId="2" xfId="0" applyFill="1" applyBorder="1" applyAlignment="1">
      <alignment horizontal="center"/>
    </xf>
    <xf numFmtId="38" fontId="70" fillId="3" borderId="0" xfId="11" applyFont="1" applyFill="1"/>
    <xf numFmtId="38" fontId="0" fillId="3" borderId="2" xfId="11" applyFont="1" applyFill="1" applyBorder="1"/>
    <xf numFmtId="38" fontId="0" fillId="3" borderId="0" xfId="11" applyFont="1" applyFill="1"/>
    <xf numFmtId="10" fontId="0" fillId="3" borderId="2" xfId="0" applyNumberFormat="1" applyFill="1" applyBorder="1"/>
    <xf numFmtId="190" fontId="0" fillId="3" borderId="0" xfId="0" applyNumberFormat="1" applyFill="1"/>
    <xf numFmtId="190" fontId="0" fillId="3" borderId="2" xfId="0" applyNumberFormat="1" applyFill="1" applyBorder="1" applyAlignment="1"/>
    <xf numFmtId="191" fontId="0" fillId="3" borderId="0" xfId="0" applyNumberFormat="1" applyFill="1"/>
    <xf numFmtId="0" fontId="21" fillId="3" borderId="236" xfId="0" applyFont="1" applyFill="1" applyBorder="1" applyAlignment="1">
      <alignment horizontal="left" vertical="top" wrapText="1"/>
    </xf>
    <xf numFmtId="0" fontId="20" fillId="3" borderId="237" xfId="0" applyFont="1" applyFill="1" applyBorder="1" applyAlignment="1">
      <alignment horizontal="center" vertical="center" wrapText="1"/>
    </xf>
    <xf numFmtId="0" fontId="20" fillId="3" borderId="238" xfId="0" applyFont="1" applyFill="1" applyBorder="1" applyAlignment="1">
      <alignment horizontal="center" vertical="center" wrapText="1"/>
    </xf>
    <xf numFmtId="191" fontId="0" fillId="3" borderId="2" xfId="0" applyNumberFormat="1" applyFill="1" applyBorder="1" applyAlignment="1">
      <alignment horizontal="center"/>
    </xf>
    <xf numFmtId="191" fontId="0" fillId="3" borderId="2" xfId="0" applyNumberFormat="1" applyFill="1" applyBorder="1"/>
    <xf numFmtId="192" fontId="71" fillId="3" borderId="239" xfId="0" applyNumberFormat="1" applyFont="1" applyFill="1" applyBorder="1"/>
    <xf numFmtId="0" fontId="72" fillId="3" borderId="129" xfId="0" applyFont="1" applyFill="1" applyBorder="1" applyAlignment="1">
      <alignment horizontal="center"/>
    </xf>
    <xf numFmtId="0" fontId="65" fillId="3" borderId="240" xfId="0" applyFont="1" applyFill="1" applyBorder="1" applyAlignment="1">
      <alignment horizontal="center" shrinkToFit="1"/>
    </xf>
    <xf numFmtId="179" fontId="0" fillId="3" borderId="6" xfId="0" applyNumberFormat="1" applyFont="1" applyFill="1" applyBorder="1"/>
    <xf numFmtId="193" fontId="0" fillId="0" borderId="2" xfId="0" applyNumberFormat="1" applyBorder="1" applyAlignment="1" applyProtection="1">
      <protection locked="0"/>
    </xf>
    <xf numFmtId="193" fontId="0" fillId="3" borderId="2" xfId="0" applyNumberFormat="1" applyFill="1" applyBorder="1"/>
    <xf numFmtId="190" fontId="32" fillId="3" borderId="241" xfId="0" applyNumberFormat="1" applyFont="1" applyFill="1" applyBorder="1"/>
    <xf numFmtId="0" fontId="72" fillId="3" borderId="0" xfId="0" applyFont="1" applyFill="1" applyBorder="1" applyAlignment="1">
      <alignment horizontal="center"/>
    </xf>
    <xf numFmtId="0" fontId="65" fillId="3" borderId="242" xfId="0" applyFont="1" applyFill="1" applyBorder="1" applyAlignment="1">
      <alignment horizontal="center" shrinkToFit="1"/>
    </xf>
    <xf numFmtId="0" fontId="22" fillId="3" borderId="6" xfId="0" applyFont="1" applyFill="1" applyBorder="1"/>
    <xf numFmtId="0" fontId="0" fillId="3" borderId="1" xfId="0" applyFill="1" applyBorder="1" applyAlignment="1">
      <alignment horizontal="center"/>
    </xf>
    <xf numFmtId="185" fontId="0" fillId="3" borderId="1" xfId="0" applyNumberFormat="1" applyFill="1" applyBorder="1"/>
    <xf numFmtId="190" fontId="32" fillId="3" borderId="243" xfId="0" applyNumberFormat="1" applyFont="1" applyFill="1" applyBorder="1"/>
    <xf numFmtId="0" fontId="72" fillId="3" borderId="244" xfId="0" applyFont="1" applyFill="1" applyBorder="1" applyAlignment="1">
      <alignment horizontal="center"/>
    </xf>
    <xf numFmtId="0" fontId="65" fillId="3" borderId="245" xfId="0" applyFont="1" applyFill="1" applyBorder="1" applyAlignment="1">
      <alignment horizontal="center" shrinkToFit="1"/>
    </xf>
    <xf numFmtId="0" fontId="0" fillId="3" borderId="22" xfId="0" applyFill="1" applyBorder="1" applyAlignment="1">
      <alignment horizontal="center"/>
    </xf>
    <xf numFmtId="49" fontId="0" fillId="3" borderId="22" xfId="0" applyNumberFormat="1" applyFill="1" applyBorder="1"/>
    <xf numFmtId="0" fontId="73" fillId="0" borderId="0" xfId="5" applyFont="1">
      <alignment vertical="center"/>
    </xf>
    <xf numFmtId="0" fontId="74" fillId="0" borderId="0" xfId="5" applyFont="1" applyAlignment="1">
      <alignment horizontal="center" vertical="center"/>
    </xf>
    <xf numFmtId="0" fontId="73" fillId="0" borderId="206" xfId="8" applyFont="1" applyBorder="1" applyAlignment="1">
      <alignment horizontal="center" vertical="center"/>
    </xf>
    <xf numFmtId="0" fontId="73" fillId="0" borderId="207" xfId="8" applyFont="1" applyBorder="1" applyAlignment="1">
      <alignment horizontal="center" vertical="center"/>
    </xf>
    <xf numFmtId="0" fontId="73" fillId="0" borderId="57" xfId="8" applyFont="1" applyBorder="1" applyAlignment="1">
      <alignment horizontal="left" vertical="top"/>
    </xf>
    <xf numFmtId="0" fontId="73" fillId="0" borderId="246" xfId="8" applyFont="1" applyBorder="1" applyAlignment="1">
      <alignment horizontal="center" vertical="center"/>
    </xf>
    <xf numFmtId="0" fontId="73" fillId="0" borderId="209" xfId="8" applyFont="1" applyBorder="1" applyAlignment="1">
      <alignment horizontal="center" vertical="center"/>
    </xf>
    <xf numFmtId="0" fontId="73" fillId="0" borderId="247" xfId="8" applyFont="1" applyBorder="1" applyAlignment="1">
      <alignment horizontal="center" vertical="center"/>
    </xf>
    <xf numFmtId="0" fontId="73" fillId="0" borderId="208" xfId="8" applyFont="1" applyBorder="1" applyAlignment="1">
      <alignment horizontal="center" vertical="center"/>
    </xf>
    <xf numFmtId="20" fontId="73" fillId="0" borderId="248" xfId="8" applyNumberFormat="1" applyFont="1" applyBorder="1" applyAlignment="1">
      <alignment horizontal="left" vertical="center" indent="1"/>
    </xf>
    <xf numFmtId="0" fontId="73" fillId="0" borderId="1" xfId="8" applyFont="1" applyBorder="1" applyAlignment="1">
      <alignment horizontal="left" vertical="center" indent="1"/>
    </xf>
    <xf numFmtId="0" fontId="73" fillId="0" borderId="2" xfId="8" applyFont="1" applyBorder="1" applyAlignment="1">
      <alignment horizontal="left" vertical="center" indent="1"/>
    </xf>
    <xf numFmtId="0" fontId="73" fillId="0" borderId="64" xfId="8" applyFont="1" applyBorder="1" applyAlignment="1">
      <alignment horizontal="left" vertical="top"/>
    </xf>
    <xf numFmtId="0" fontId="73" fillId="0" borderId="2" xfId="8" applyFont="1" applyBorder="1" applyAlignment="1">
      <alignment horizontal="center" vertical="center"/>
    </xf>
    <xf numFmtId="0" fontId="73" fillId="0" borderId="2" xfId="8" applyFont="1" applyBorder="1">
      <alignment vertical="center"/>
    </xf>
    <xf numFmtId="0" fontId="73" fillId="0" borderId="71" xfId="8" applyFont="1" applyBorder="1">
      <alignment vertical="center"/>
    </xf>
    <xf numFmtId="20" fontId="73" fillId="0" borderId="63" xfId="8" applyNumberFormat="1" applyFont="1" applyBorder="1" applyAlignment="1">
      <alignment horizontal="left" vertical="center" indent="1"/>
    </xf>
    <xf numFmtId="0" fontId="73" fillId="0" borderId="64" xfId="8" applyFont="1" applyBorder="1" applyAlignment="1">
      <alignment horizontal="left" vertical="center" indent="1"/>
    </xf>
    <xf numFmtId="176" fontId="73" fillId="0" borderId="2" xfId="8" applyNumberFormat="1" applyFont="1" applyBorder="1">
      <alignment vertical="center"/>
    </xf>
    <xf numFmtId="0" fontId="73" fillId="0" borderId="2" xfId="8" quotePrefix="1" applyFont="1" applyBorder="1">
      <alignment vertical="center"/>
    </xf>
    <xf numFmtId="0" fontId="73" fillId="0" borderId="2" xfId="8" applyFont="1" applyBorder="1" applyAlignment="1">
      <alignment vertical="center" wrapText="1"/>
    </xf>
    <xf numFmtId="0" fontId="73" fillId="0" borderId="21" xfId="5" applyFont="1" applyBorder="1" applyAlignment="1">
      <alignment horizontal="right" vertical="center" indent="1" shrinkToFit="1"/>
    </xf>
    <xf numFmtId="0" fontId="73" fillId="0" borderId="0" xfId="5" applyFont="1" applyAlignment="1">
      <alignment horizontal="right" vertical="center" indent="1"/>
    </xf>
    <xf numFmtId="20" fontId="73" fillId="0" borderId="249" xfId="8" applyNumberFormat="1" applyFont="1" applyBorder="1" applyAlignment="1">
      <alignment horizontal="left" vertical="center" indent="1"/>
    </xf>
    <xf numFmtId="0" fontId="73" fillId="0" borderId="74" xfId="8" applyFont="1" applyBorder="1" applyAlignment="1">
      <alignment horizontal="left" vertical="center" indent="1"/>
    </xf>
    <xf numFmtId="0" fontId="73" fillId="0" borderId="250" xfId="8" applyFont="1" applyBorder="1" applyAlignment="1">
      <alignment horizontal="left" vertical="center" indent="1"/>
    </xf>
    <xf numFmtId="0" fontId="73" fillId="0" borderId="74" xfId="8" applyFont="1" applyBorder="1" applyAlignment="1">
      <alignment horizontal="left" vertical="top"/>
    </xf>
    <xf numFmtId="0" fontId="73" fillId="0" borderId="250" xfId="8" applyFont="1" applyBorder="1" applyAlignment="1">
      <alignment horizontal="center" vertical="center"/>
    </xf>
    <xf numFmtId="0" fontId="73" fillId="0" borderId="250" xfId="8" applyFont="1" applyBorder="1">
      <alignment vertical="center"/>
    </xf>
    <xf numFmtId="0" fontId="73" fillId="0" borderId="80" xfId="8" applyFont="1" applyBorder="1">
      <alignment vertical="center"/>
    </xf>
    <xf numFmtId="0" fontId="6" fillId="0" borderId="0" xfId="5" applyFont="1">
      <alignment vertical="center"/>
    </xf>
    <xf numFmtId="0" fontId="12" fillId="0" borderId="0" xfId="5" applyFont="1" applyAlignment="1">
      <alignment horizontal="center" vertical="center"/>
    </xf>
    <xf numFmtId="0" fontId="6" fillId="0" borderId="0" xfId="5" applyFont="1" applyAlignment="1">
      <alignment horizontal="center" vertical="top"/>
    </xf>
    <xf numFmtId="0" fontId="6" fillId="0" borderId="0" xfId="5" applyFont="1" applyAlignment="1">
      <alignment vertical="distributed" wrapText="1"/>
    </xf>
    <xf numFmtId="0" fontId="6" fillId="0" borderId="6" xfId="5" applyFont="1" applyBorder="1" applyAlignment="1">
      <alignment horizontal="distributed" vertical="center"/>
    </xf>
    <xf numFmtId="0" fontId="6" fillId="0" borderId="64" xfId="5" applyFont="1" applyBorder="1" applyAlignment="1">
      <alignment horizontal="distributed" vertical="center"/>
    </xf>
    <xf numFmtId="0" fontId="6" fillId="0" borderId="0" xfId="5" applyFont="1" applyAlignment="1">
      <alignment horizontal="distributed" vertical="center"/>
    </xf>
    <xf numFmtId="49" fontId="6" fillId="0" borderId="0" xfId="5" applyNumberFormat="1" applyFont="1" applyAlignment="1">
      <alignment horizontal="distributed" vertical="center"/>
    </xf>
    <xf numFmtId="0" fontId="6" fillId="0" borderId="6" xfId="5" applyFont="1" applyBorder="1" applyAlignment="1">
      <alignment vertical="center"/>
    </xf>
    <xf numFmtId="0" fontId="6" fillId="0" borderId="64" xfId="5" applyFont="1" applyBorder="1" applyAlignment="1">
      <alignment vertical="center"/>
    </xf>
    <xf numFmtId="0" fontId="53" fillId="0" borderId="0" xfId="5" applyFont="1">
      <alignment vertical="center"/>
    </xf>
    <xf numFmtId="0" fontId="17" fillId="0" borderId="0" xfId="5" applyFont="1">
      <alignment vertical="center"/>
    </xf>
    <xf numFmtId="0" fontId="17" fillId="0" borderId="3"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4" xfId="5" applyFont="1" applyBorder="1" applyAlignment="1">
      <alignment horizontal="center" vertical="center" shrinkToFit="1"/>
    </xf>
    <xf numFmtId="0" fontId="17" fillId="0" borderId="1" xfId="5" applyFont="1" applyBorder="1" applyAlignment="1">
      <alignment horizontal="center" vertical="center" shrinkToFit="1"/>
    </xf>
    <xf numFmtId="0" fontId="17" fillId="0" borderId="137" xfId="5" applyFont="1" applyBorder="1" applyAlignment="1">
      <alignment horizontal="center" vertical="center" textRotation="255" shrinkToFit="1"/>
    </xf>
    <xf numFmtId="0" fontId="17" fillId="0" borderId="129" xfId="5" applyFont="1" applyBorder="1" applyAlignment="1">
      <alignment horizontal="center" vertical="center" textRotation="255" shrinkToFit="1"/>
    </xf>
    <xf numFmtId="0" fontId="17" fillId="0" borderId="88" xfId="5" applyFont="1" applyBorder="1" applyAlignment="1">
      <alignment horizontal="center" vertical="center" textRotation="255" shrinkToFit="1"/>
    </xf>
    <xf numFmtId="0" fontId="17" fillId="0" borderId="2" xfId="5" applyFont="1" applyBorder="1" applyAlignment="1">
      <alignment horizontal="center" vertical="center" justifyLastLine="1"/>
    </xf>
    <xf numFmtId="178" fontId="17" fillId="0" borderId="2" xfId="5" applyNumberFormat="1" applyFont="1" applyBorder="1" applyAlignment="1">
      <alignment horizontal="right" vertical="center" justifyLastLine="1"/>
    </xf>
    <xf numFmtId="0" fontId="17" fillId="0" borderId="2" xfId="5" applyFont="1" applyBorder="1" applyAlignment="1">
      <alignment horizontal="distributed" vertical="center" shrinkToFit="1"/>
    </xf>
    <xf numFmtId="0" fontId="17" fillId="0" borderId="22" xfId="5" applyFont="1" applyBorder="1" applyAlignment="1">
      <alignment horizontal="center" vertical="center" shrinkToFit="1"/>
    </xf>
    <xf numFmtId="176" fontId="17" fillId="0" borderId="2" xfId="5" applyNumberFormat="1" applyFont="1" applyBorder="1" applyAlignment="1">
      <alignment horizontal="right" vertical="center" justifyLastLine="1"/>
    </xf>
    <xf numFmtId="176" fontId="17" fillId="0" borderId="2" xfId="5" applyNumberFormat="1" applyFont="1" applyBorder="1">
      <alignment vertical="center"/>
    </xf>
    <xf numFmtId="185" fontId="17" fillId="0" borderId="2" xfId="5" applyNumberFormat="1" applyFont="1" applyBorder="1" applyAlignment="1">
      <alignment horizontal="right" vertical="center" justifyLastLine="1"/>
    </xf>
    <xf numFmtId="185" fontId="17" fillId="0" borderId="2" xfId="5" applyNumberFormat="1" applyFont="1" applyBorder="1">
      <alignment vertical="center"/>
    </xf>
    <xf numFmtId="176" fontId="17" fillId="0" borderId="189" xfId="5" applyNumberFormat="1" applyFont="1" applyBorder="1" applyAlignment="1">
      <alignment horizontal="center" vertical="center"/>
    </xf>
    <xf numFmtId="176" fontId="17" fillId="0" borderId="190" xfId="5" applyNumberFormat="1" applyFont="1" applyBorder="1" applyAlignment="1">
      <alignment horizontal="center" vertical="center"/>
    </xf>
    <xf numFmtId="176" fontId="17" fillId="0" borderId="191" xfId="5" applyNumberFormat="1" applyFont="1" applyBorder="1" applyAlignment="1">
      <alignment horizontal="center" vertical="center"/>
    </xf>
    <xf numFmtId="0" fontId="17" fillId="0" borderId="2" xfId="5" applyFont="1" applyBorder="1" applyAlignment="1">
      <alignment horizontal="center" vertical="center" shrinkToFit="1"/>
    </xf>
    <xf numFmtId="176" fontId="17" fillId="0" borderId="187" xfId="5" applyNumberFormat="1" applyFont="1" applyBorder="1">
      <alignment vertical="center"/>
    </xf>
    <xf numFmtId="178" fontId="17" fillId="0" borderId="2" xfId="5" applyNumberFormat="1" applyFont="1" applyBorder="1" applyAlignment="1">
      <alignment horizontal="right" vertical="center"/>
    </xf>
    <xf numFmtId="0" fontId="17" fillId="0" borderId="2" xfId="5" applyFont="1" applyBorder="1">
      <alignment vertical="center"/>
    </xf>
    <xf numFmtId="176" fontId="17" fillId="0" borderId="2" xfId="5" applyNumberFormat="1" applyFont="1" applyBorder="1" applyAlignment="1">
      <alignment horizontal="right" vertical="center" shrinkToFit="1"/>
    </xf>
    <xf numFmtId="0" fontId="75" fillId="0" borderId="0" xfId="5" applyFont="1">
      <alignment vertical="center"/>
    </xf>
    <xf numFmtId="0" fontId="17" fillId="0" borderId="0" xfId="5" applyFont="1" applyAlignment="1">
      <alignment vertical="center"/>
    </xf>
    <xf numFmtId="0" fontId="17" fillId="0" borderId="2" xfId="5" applyFont="1" applyBorder="1" applyAlignment="1">
      <alignment horizontal="distributed" vertical="center" wrapText="1"/>
    </xf>
    <xf numFmtId="0" fontId="17" fillId="0" borderId="1" xfId="5" applyFont="1" applyBorder="1" applyAlignment="1">
      <alignment horizontal="justify" vertical="center" wrapText="1"/>
    </xf>
    <xf numFmtId="0" fontId="17" fillId="0" borderId="251" xfId="5" applyFont="1" applyBorder="1" applyAlignment="1">
      <alignment horizontal="justify" vertical="center" wrapText="1"/>
    </xf>
    <xf numFmtId="0" fontId="76" fillId="0" borderId="251" xfId="5" applyFont="1" applyBorder="1" applyAlignment="1">
      <alignment horizontal="justify" vertical="center" wrapText="1"/>
    </xf>
    <xf numFmtId="0" fontId="17" fillId="0" borderId="3"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4" xfId="5" applyFont="1" applyBorder="1" applyAlignment="1">
      <alignment horizontal="center" vertical="center" wrapText="1"/>
    </xf>
    <xf numFmtId="0" fontId="17" fillId="0" borderId="1" xfId="5" applyFont="1" applyBorder="1" applyAlignment="1">
      <alignment horizontal="center" vertical="center" wrapText="1"/>
    </xf>
    <xf numFmtId="0" fontId="17" fillId="0" borderId="2" xfId="5" applyFont="1" applyBorder="1" applyAlignment="1">
      <alignment horizontal="justify" vertical="center" wrapText="1"/>
    </xf>
    <xf numFmtId="0" fontId="17" fillId="0" borderId="22" xfId="5" applyFont="1" applyBorder="1" applyAlignment="1">
      <alignment horizontal="center" vertical="center" wrapText="1"/>
    </xf>
    <xf numFmtId="0" fontId="17" fillId="0" borderId="1" xfId="5" applyFont="1" applyBorder="1" applyAlignment="1">
      <alignment horizontal="center" vertical="center"/>
    </xf>
    <xf numFmtId="182" fontId="17" fillId="0" borderId="2" xfId="3" applyNumberFormat="1" applyFont="1" applyBorder="1" applyAlignment="1">
      <alignment vertical="center" wrapText="1"/>
    </xf>
    <xf numFmtId="0" fontId="17" fillId="0" borderId="22" xfId="5" applyFont="1" applyBorder="1" applyAlignment="1">
      <alignment horizontal="center" vertical="center"/>
    </xf>
    <xf numFmtId="38" fontId="17" fillId="0" borderId="2" xfId="11" applyFont="1" applyBorder="1" applyAlignment="1">
      <alignment vertical="center"/>
    </xf>
    <xf numFmtId="0" fontId="77" fillId="0" borderId="2" xfId="5" applyFont="1" applyBorder="1" applyAlignment="1" applyProtection="1">
      <alignment horizontal="justify" vertical="center" wrapText="1"/>
      <protection locked="0"/>
    </xf>
    <xf numFmtId="0" fontId="17" fillId="0" borderId="2" xfId="5" applyFont="1" applyBorder="1" applyAlignment="1" applyProtection="1">
      <alignment horizontal="justify" vertical="center" wrapText="1"/>
      <protection locked="0"/>
    </xf>
    <xf numFmtId="0" fontId="77" fillId="0" borderId="0" xfId="5" applyFont="1" applyAlignment="1">
      <alignment vertical="center" wrapText="1"/>
    </xf>
    <xf numFmtId="0" fontId="77" fillId="0" borderId="0" xfId="5" applyFont="1">
      <alignment vertical="center"/>
    </xf>
    <xf numFmtId="0" fontId="13" fillId="0" borderId="252" xfId="5" applyFont="1" applyBorder="1">
      <alignment vertical="center"/>
    </xf>
    <xf numFmtId="0" fontId="13" fillId="0" borderId="2" xfId="4" applyFont="1" applyFill="1" applyBorder="1" applyAlignment="1">
      <alignment horizontal="center" vertical="center"/>
    </xf>
    <xf numFmtId="0" fontId="13" fillId="0" borderId="2" xfId="4" applyFont="1" applyFill="1" applyBorder="1" applyAlignment="1">
      <alignment horizontal="center" vertical="center" wrapText="1"/>
    </xf>
    <xf numFmtId="0" fontId="13" fillId="0" borderId="2" xfId="5" applyFont="1" applyBorder="1">
      <alignment vertical="center"/>
    </xf>
    <xf numFmtId="0" fontId="13" fillId="0" borderId="0" xfId="5" applyFont="1" applyBorder="1" applyAlignment="1">
      <alignment horizontal="center" vertical="center" wrapText="1"/>
    </xf>
    <xf numFmtId="0" fontId="17" fillId="0" borderId="0" xfId="5" applyFont="1" applyAlignment="1">
      <alignment horizontal="right" vertical="center"/>
    </xf>
    <xf numFmtId="0" fontId="4" fillId="11" borderId="0" xfId="10" applyFont="1" applyFill="1" applyAlignment="1">
      <alignment vertical="center" shrinkToFit="1"/>
    </xf>
    <xf numFmtId="0" fontId="2" fillId="11" borderId="0" xfId="10" applyFont="1" applyFill="1" applyAlignment="1">
      <alignment vertical="center" shrinkToFit="1"/>
    </xf>
    <xf numFmtId="0" fontId="4" fillId="11" borderId="0" xfId="10" applyFont="1" applyFill="1" applyBorder="1" applyAlignment="1">
      <alignment vertical="center"/>
    </xf>
    <xf numFmtId="0" fontId="78" fillId="11" borderId="0" xfId="10" applyFont="1" applyFill="1" applyAlignment="1">
      <alignment horizontal="center" vertical="center" shrinkToFit="1"/>
    </xf>
    <xf numFmtId="0" fontId="79" fillId="11" borderId="0" xfId="10" applyFont="1" applyFill="1" applyAlignment="1">
      <alignment vertical="center" wrapText="1"/>
    </xf>
    <xf numFmtId="0" fontId="79" fillId="11" borderId="0" xfId="10" applyFont="1" applyFill="1" applyAlignment="1">
      <alignment vertical="center" wrapText="1"/>
    </xf>
    <xf numFmtId="0" fontId="79" fillId="11" borderId="0" xfId="10" applyFont="1" applyFill="1" applyAlignment="1">
      <alignment horizontal="left" vertical="center" shrinkToFit="1"/>
    </xf>
    <xf numFmtId="0" fontId="2" fillId="11" borderId="2" xfId="10" applyFont="1" applyFill="1" applyBorder="1" applyAlignment="1">
      <alignment horizontal="center" vertical="center" shrinkToFit="1"/>
    </xf>
    <xf numFmtId="0" fontId="2" fillId="11" borderId="138" xfId="10" applyFont="1" applyFill="1" applyBorder="1" applyAlignment="1">
      <alignment horizontal="center" vertical="center" shrinkToFit="1"/>
    </xf>
    <xf numFmtId="0" fontId="2" fillId="11" borderId="139" xfId="10" applyFont="1" applyFill="1" applyBorder="1" applyAlignment="1">
      <alignment horizontal="center" vertical="center" shrinkToFit="1"/>
    </xf>
    <xf numFmtId="0" fontId="2" fillId="11" borderId="141" xfId="10" applyFont="1" applyFill="1" applyBorder="1" applyAlignment="1">
      <alignment horizontal="center" vertical="center" shrinkToFit="1"/>
    </xf>
    <xf numFmtId="0" fontId="80" fillId="11" borderId="138" xfId="10" applyFont="1" applyFill="1" applyBorder="1" applyAlignment="1">
      <alignment horizontal="center" vertical="center" shrinkToFit="1"/>
    </xf>
    <xf numFmtId="0" fontId="80" fillId="11" borderId="139" xfId="10" applyFont="1" applyFill="1" applyBorder="1" applyAlignment="1">
      <alignment horizontal="center" vertical="center" shrinkToFit="1"/>
    </xf>
    <xf numFmtId="0" fontId="80" fillId="11" borderId="141" xfId="10" applyFont="1" applyFill="1" applyBorder="1" applyAlignment="1">
      <alignment horizontal="center" vertical="center" shrinkToFit="1"/>
    </xf>
    <xf numFmtId="0" fontId="79" fillId="11" borderId="67" xfId="10" applyFont="1" applyFill="1" applyBorder="1" applyAlignment="1">
      <alignment horizontal="left" vertical="center" shrinkToFit="1"/>
    </xf>
    <xf numFmtId="0" fontId="2" fillId="11" borderId="1" xfId="10" applyFont="1" applyFill="1" applyBorder="1" applyAlignment="1">
      <alignment horizontal="center" vertical="center" wrapText="1" shrinkToFit="1"/>
    </xf>
    <xf numFmtId="0" fontId="79" fillId="11" borderId="67" xfId="10" applyFont="1" applyFill="1" applyBorder="1" applyAlignment="1">
      <alignment horizontal="left" vertical="top" wrapText="1" shrinkToFit="1"/>
    </xf>
    <xf numFmtId="0" fontId="2" fillId="11" borderId="0" xfId="10" applyFont="1" applyFill="1" applyBorder="1" applyAlignment="1">
      <alignment vertical="center" wrapText="1" shrinkToFit="1"/>
    </xf>
    <xf numFmtId="0" fontId="2" fillId="11" borderId="2" xfId="10" applyFont="1" applyFill="1" applyBorder="1" applyAlignment="1">
      <alignment horizontal="left" vertical="center" shrinkToFit="1"/>
    </xf>
    <xf numFmtId="0" fontId="2" fillId="11" borderId="1" xfId="10" applyFont="1" applyFill="1" applyBorder="1" applyAlignment="1">
      <alignment horizontal="left" vertical="center" wrapText="1" shrinkToFit="1"/>
    </xf>
    <xf numFmtId="0" fontId="79" fillId="11" borderId="0" xfId="10" applyFont="1" applyFill="1" applyBorder="1" applyAlignment="1">
      <alignment horizontal="left" vertical="top" wrapText="1" shrinkToFit="1"/>
    </xf>
    <xf numFmtId="0" fontId="2" fillId="11" borderId="2" xfId="10" applyFont="1" applyFill="1" applyBorder="1" applyAlignment="1">
      <alignment horizontal="left" vertical="center" wrapText="1" shrinkToFit="1"/>
    </xf>
    <xf numFmtId="0" fontId="2" fillId="11" borderId="64" xfId="10" applyFont="1" applyFill="1" applyBorder="1" applyAlignment="1">
      <alignment horizontal="center" vertical="center" wrapText="1" shrinkToFit="1"/>
    </xf>
    <xf numFmtId="0" fontId="2" fillId="11" borderId="64" xfId="10" applyFont="1" applyFill="1" applyBorder="1" applyAlignment="1">
      <alignment horizontal="left" vertical="center" wrapText="1" shrinkToFit="1"/>
    </xf>
    <xf numFmtId="0" fontId="2" fillId="11" borderId="138" xfId="10" applyFont="1" applyFill="1" applyBorder="1" applyAlignment="1">
      <alignment horizontal="left" vertical="center" wrapText="1" shrinkToFit="1"/>
    </xf>
    <xf numFmtId="0" fontId="2" fillId="11" borderId="139" xfId="10" applyFont="1" applyFill="1" applyBorder="1" applyAlignment="1">
      <alignment horizontal="left" vertical="center" wrapText="1" shrinkToFit="1"/>
    </xf>
    <xf numFmtId="0" fontId="2" fillId="11" borderId="141" xfId="10" applyFont="1" applyFill="1" applyBorder="1" applyAlignment="1">
      <alignment horizontal="left" vertical="center" wrapText="1" shrinkToFit="1"/>
    </xf>
    <xf numFmtId="0" fontId="2" fillId="11" borderId="140" xfId="10" applyFont="1" applyFill="1" applyBorder="1" applyAlignment="1">
      <alignment horizontal="left" vertical="center" wrapText="1" shrinkToFit="1"/>
    </xf>
    <xf numFmtId="0" fontId="2" fillId="11" borderId="22" xfId="10" applyFont="1" applyFill="1" applyBorder="1" applyAlignment="1">
      <alignment horizontal="center" vertical="center" wrapText="1" shrinkToFit="1"/>
    </xf>
    <xf numFmtId="0" fontId="4" fillId="11" borderId="0" xfId="10" applyFont="1" applyFill="1" applyBorder="1" applyAlignment="1">
      <alignment vertical="center" shrinkToFit="1"/>
    </xf>
    <xf numFmtId="0" fontId="2" fillId="11" borderId="22" xfId="10" applyFont="1" applyFill="1" applyBorder="1" applyAlignment="1">
      <alignment horizontal="left" vertical="center" wrapText="1" shrinkToFit="1"/>
    </xf>
    <xf numFmtId="0" fontId="2" fillId="11" borderId="1" xfId="10" applyFont="1" applyFill="1" applyBorder="1" applyAlignment="1">
      <alignment horizontal="center" vertical="center" shrinkToFit="1"/>
    </xf>
    <xf numFmtId="0" fontId="2" fillId="11" borderId="2" xfId="10" applyFont="1" applyFill="1" applyBorder="1" applyAlignment="1">
      <alignment horizontal="center" vertical="center" wrapText="1" shrinkToFit="1"/>
    </xf>
    <xf numFmtId="0" fontId="2" fillId="11" borderId="64" xfId="10" applyFont="1" applyFill="1" applyBorder="1" applyAlignment="1">
      <alignment horizontal="center" vertical="center" shrinkToFit="1"/>
    </xf>
    <xf numFmtId="0" fontId="2" fillId="11" borderId="22" xfId="10" applyFont="1" applyFill="1" applyBorder="1" applyAlignment="1">
      <alignment horizontal="center" vertical="center" shrinkToFit="1"/>
    </xf>
    <xf numFmtId="0" fontId="2" fillId="11" borderId="1" xfId="10" applyFont="1" applyFill="1" applyBorder="1" applyAlignment="1">
      <alignment horizontal="center" vertical="top" shrinkToFit="1"/>
    </xf>
    <xf numFmtId="0" fontId="2" fillId="11" borderId="64" xfId="10" applyFont="1" applyFill="1" applyBorder="1" applyAlignment="1">
      <alignment horizontal="center" vertical="top" shrinkToFit="1"/>
    </xf>
    <xf numFmtId="0" fontId="79" fillId="11" borderId="2" xfId="10" applyFont="1" applyFill="1" applyBorder="1" applyAlignment="1">
      <alignment horizontal="center" vertical="center" shrinkToFit="1"/>
    </xf>
    <xf numFmtId="0" fontId="78" fillId="11" borderId="1" xfId="10" applyFont="1" applyFill="1" applyBorder="1" applyAlignment="1">
      <alignment horizontal="center" vertical="center" shrinkToFit="1"/>
    </xf>
    <xf numFmtId="0" fontId="2" fillId="11" borderId="138" xfId="10" applyFont="1" applyFill="1" applyBorder="1" applyAlignment="1">
      <alignment horizontal="center" vertical="center" wrapText="1" shrinkToFit="1"/>
    </xf>
    <xf numFmtId="0" fontId="2" fillId="11" borderId="139" xfId="10" applyFont="1" applyFill="1" applyBorder="1" applyAlignment="1">
      <alignment horizontal="center" vertical="center" wrapText="1" shrinkToFit="1"/>
    </xf>
    <xf numFmtId="0" fontId="2" fillId="11" borderId="140" xfId="10" applyFont="1" applyFill="1" applyBorder="1" applyAlignment="1">
      <alignment horizontal="center" vertical="center" wrapText="1" shrinkToFit="1"/>
    </xf>
    <xf numFmtId="0" fontId="78" fillId="11" borderId="64" xfId="10" applyFont="1" applyFill="1" applyBorder="1" applyAlignment="1">
      <alignment horizontal="center" vertical="center" shrinkToFit="1"/>
    </xf>
    <xf numFmtId="0" fontId="2" fillId="11" borderId="22" xfId="10" applyFont="1" applyFill="1" applyBorder="1" applyAlignment="1">
      <alignment horizontal="center" vertical="top" shrinkToFit="1"/>
    </xf>
    <xf numFmtId="0" fontId="78" fillId="11" borderId="129" xfId="10" applyFont="1" applyFill="1" applyBorder="1" applyAlignment="1">
      <alignment vertical="center" shrinkToFit="1"/>
    </xf>
    <xf numFmtId="0" fontId="4" fillId="11" borderId="253" xfId="10" applyFont="1" applyFill="1" applyBorder="1" applyAlignment="1">
      <alignment vertical="center" shrinkToFit="1"/>
    </xf>
    <xf numFmtId="58" fontId="79" fillId="11" borderId="2" xfId="10" applyNumberFormat="1" applyFont="1" applyFill="1" applyBorder="1" applyAlignment="1">
      <alignment horizontal="center" vertical="center" shrinkToFit="1"/>
    </xf>
    <xf numFmtId="0" fontId="81" fillId="11" borderId="138" xfId="10" applyFont="1" applyFill="1" applyBorder="1" applyAlignment="1">
      <alignment horizontal="center" vertical="center" shrinkToFit="1"/>
    </xf>
    <xf numFmtId="0" fontId="82" fillId="11" borderId="138" xfId="10" applyFont="1" applyFill="1" applyBorder="1" applyAlignment="1">
      <alignment horizontal="center" vertical="center" shrinkToFit="1"/>
    </xf>
    <xf numFmtId="0" fontId="79" fillId="11" borderId="1" xfId="10" applyFont="1" applyFill="1" applyBorder="1" applyAlignment="1">
      <alignment horizontal="center" vertical="center" shrinkToFit="1"/>
    </xf>
    <xf numFmtId="0" fontId="79" fillId="11" borderId="64" xfId="10" applyFont="1" applyFill="1" applyBorder="1" applyAlignment="1">
      <alignment horizontal="center" vertical="center" shrinkToFit="1"/>
    </xf>
    <xf numFmtId="0" fontId="79" fillId="11" borderId="22" xfId="10" applyFont="1" applyFill="1" applyBorder="1" applyAlignment="1">
      <alignment horizontal="center" vertical="center" shrinkToFit="1"/>
    </xf>
    <xf numFmtId="0" fontId="83" fillId="11" borderId="1" xfId="10" applyFont="1" applyFill="1" applyBorder="1" applyAlignment="1">
      <alignment horizontal="left" vertical="top" wrapText="1" shrinkToFit="1"/>
    </xf>
    <xf numFmtId="0" fontId="79" fillId="11" borderId="64" xfId="10" applyFont="1" applyFill="1" applyBorder="1" applyAlignment="1">
      <alignment horizontal="left" vertical="top" wrapText="1" shrinkToFit="1"/>
    </xf>
    <xf numFmtId="0" fontId="83" fillId="11" borderId="2" xfId="10" applyFont="1" applyFill="1" applyBorder="1" applyAlignment="1">
      <alignment horizontal="left" vertical="center" wrapText="1" shrinkToFit="1"/>
    </xf>
    <xf numFmtId="0" fontId="83" fillId="11" borderId="1" xfId="10" applyFont="1" applyFill="1" applyBorder="1" applyAlignment="1">
      <alignment horizontal="left" vertical="center" wrapText="1" shrinkToFit="1"/>
    </xf>
    <xf numFmtId="0" fontId="84" fillId="11" borderId="2" xfId="10" applyFont="1" applyFill="1" applyBorder="1" applyAlignment="1">
      <alignment horizontal="left" vertical="center" wrapText="1" shrinkToFit="1"/>
    </xf>
    <xf numFmtId="0" fontId="84" fillId="11" borderId="64" xfId="10" applyFont="1" applyFill="1" applyBorder="1" applyAlignment="1">
      <alignment horizontal="left" vertical="center" wrapText="1" shrinkToFit="1"/>
    </xf>
    <xf numFmtId="0" fontId="79" fillId="11" borderId="2" xfId="10" applyFont="1" applyFill="1" applyBorder="1" applyAlignment="1">
      <alignment horizontal="left" vertical="center" wrapText="1" shrinkToFit="1"/>
    </xf>
    <xf numFmtId="0" fontId="79" fillId="11" borderId="22" xfId="10" applyFont="1" applyFill="1" applyBorder="1" applyAlignment="1">
      <alignment horizontal="left" vertical="top" wrapText="1" shrinkToFit="1"/>
    </xf>
    <xf numFmtId="0" fontId="84" fillId="11" borderId="22" xfId="10" applyFont="1" applyFill="1" applyBorder="1" applyAlignment="1">
      <alignment horizontal="left" vertical="center" wrapText="1" shrinkToFit="1"/>
    </xf>
    <xf numFmtId="0" fontId="17" fillId="0" borderId="0" xfId="5" applyFont="1" applyBorder="1">
      <alignment vertical="center"/>
    </xf>
    <xf numFmtId="0" fontId="85" fillId="0" borderId="6" xfId="5" applyFont="1" applyBorder="1" applyAlignment="1">
      <alignment horizontal="center" vertical="center"/>
    </xf>
    <xf numFmtId="0" fontId="17" fillId="0" borderId="3" xfId="5" applyFont="1" applyBorder="1" applyAlignment="1">
      <alignment horizontal="center" vertical="center" textRotation="255"/>
    </xf>
    <xf numFmtId="0" fontId="77" fillId="0" borderId="5" xfId="5" applyFont="1" applyBorder="1" applyAlignment="1">
      <alignment horizontal="center" vertical="center" textRotation="255"/>
    </xf>
    <xf numFmtId="0" fontId="17" fillId="0" borderId="5" xfId="5" applyFont="1" applyBorder="1" applyAlignment="1">
      <alignment horizontal="center" vertical="center" textRotation="255"/>
    </xf>
    <xf numFmtId="0" fontId="17" fillId="0" borderId="4" xfId="5" applyFont="1" applyBorder="1" applyAlignment="1">
      <alignment horizontal="center" vertical="center" textRotation="255"/>
    </xf>
    <xf numFmtId="0" fontId="17" fillId="0" borderId="254" xfId="5" applyFont="1" applyBorder="1" applyAlignment="1">
      <alignment horizontal="center" vertical="center" wrapText="1"/>
    </xf>
    <xf numFmtId="0" fontId="17" fillId="0" borderId="255" xfId="5" applyFont="1" applyBorder="1" applyAlignment="1">
      <alignment horizontal="center" vertical="center"/>
    </xf>
    <xf numFmtId="0" fontId="13" fillId="0" borderId="255" xfId="5" applyFont="1" applyBorder="1" applyAlignment="1">
      <alignment horizontal="center" vertical="center" wrapText="1"/>
    </xf>
    <xf numFmtId="0" fontId="13" fillId="0" borderId="256" xfId="5" applyFont="1" applyBorder="1" applyAlignment="1">
      <alignment horizontal="center" vertical="center" wrapText="1"/>
    </xf>
    <xf numFmtId="0" fontId="13" fillId="0" borderId="1" xfId="5" applyFont="1" applyBorder="1" applyAlignment="1">
      <alignment horizontal="left" vertical="center" wrapText="1"/>
    </xf>
    <xf numFmtId="0" fontId="17" fillId="0" borderId="18" xfId="5" applyFont="1" applyBorder="1" applyAlignment="1">
      <alignment horizontal="center" vertical="center"/>
    </xf>
    <xf numFmtId="0" fontId="17" fillId="0" borderId="19" xfId="5" applyFont="1" applyBorder="1" applyAlignment="1">
      <alignment horizontal="center" vertical="center"/>
    </xf>
    <xf numFmtId="0" fontId="13" fillId="0" borderId="19" xfId="5" applyFont="1" applyBorder="1" applyAlignment="1">
      <alignment horizontal="center" vertical="center" wrapText="1"/>
    </xf>
    <xf numFmtId="0" fontId="13" fillId="0" borderId="20" xfId="5" applyFont="1" applyBorder="1" applyAlignment="1">
      <alignment horizontal="center" vertical="center" wrapText="1"/>
    </xf>
    <xf numFmtId="0" fontId="13" fillId="0" borderId="64" xfId="5" applyFont="1" applyBorder="1" applyAlignment="1">
      <alignment horizontal="left" vertical="center" wrapText="1"/>
    </xf>
    <xf numFmtId="0" fontId="17" fillId="0" borderId="18" xfId="5" applyFont="1" applyBorder="1" applyAlignment="1">
      <alignment horizontal="left" vertical="center"/>
    </xf>
    <xf numFmtId="0" fontId="17" fillId="0" borderId="19" xfId="5" applyFont="1" applyBorder="1" applyAlignment="1">
      <alignment horizontal="left" vertical="center"/>
    </xf>
    <xf numFmtId="0" fontId="13" fillId="0" borderId="19" xfId="5" applyFont="1" applyBorder="1" applyAlignment="1">
      <alignment horizontal="left" vertical="top"/>
    </xf>
    <xf numFmtId="0" fontId="13" fillId="0" borderId="20" xfId="5" applyFont="1" applyBorder="1" applyAlignment="1">
      <alignment horizontal="left" vertical="top"/>
    </xf>
    <xf numFmtId="0" fontId="17" fillId="0" borderId="142" xfId="5" applyFont="1" applyBorder="1" applyAlignment="1">
      <alignment horizontal="left" vertical="center"/>
    </xf>
    <xf numFmtId="0" fontId="17" fillId="0" borderId="257" xfId="5" applyFont="1" applyBorder="1" applyAlignment="1">
      <alignment horizontal="left" vertical="center"/>
    </xf>
    <xf numFmtId="0" fontId="13" fillId="0" borderId="257" xfId="5" applyFont="1" applyBorder="1" applyAlignment="1">
      <alignment horizontal="left" vertical="top"/>
    </xf>
    <xf numFmtId="0" fontId="13" fillId="0" borderId="143" xfId="5" applyFont="1" applyBorder="1" applyAlignment="1">
      <alignment horizontal="left" vertical="top"/>
    </xf>
    <xf numFmtId="0" fontId="13" fillId="0" borderId="22" xfId="5" applyFont="1" applyBorder="1" applyAlignment="1">
      <alignment horizontal="left" vertical="center" wrapText="1"/>
    </xf>
    <xf numFmtId="0" fontId="1" fillId="0" borderId="0" xfId="6">
      <alignment vertical="center"/>
    </xf>
    <xf numFmtId="194" fontId="86" fillId="0" borderId="0" xfId="6" applyNumberFormat="1" applyFont="1" applyAlignment="1">
      <alignment horizontal="center" vertical="center"/>
    </xf>
    <xf numFmtId="0" fontId="87" fillId="0" borderId="2" xfId="6" applyFont="1" applyBorder="1" applyAlignment="1">
      <alignment horizontal="center" vertical="center"/>
    </xf>
    <xf numFmtId="0" fontId="87" fillId="0" borderId="2" xfId="6" applyFont="1" applyBorder="1" applyAlignment="1">
      <alignment horizontal="center" vertical="center" wrapText="1"/>
    </xf>
    <xf numFmtId="0" fontId="87" fillId="0" borderId="2" xfId="6" applyFont="1" applyBorder="1" applyAlignment="1">
      <alignment horizontal="left" vertical="center" wrapText="1"/>
    </xf>
    <xf numFmtId="57" fontId="87" fillId="0" borderId="2" xfId="6" applyNumberFormat="1" applyFont="1" applyBorder="1" applyAlignment="1">
      <alignment horizontal="center" vertical="center"/>
    </xf>
    <xf numFmtId="3" fontId="87" fillId="0" borderId="2" xfId="6" applyNumberFormat="1" applyFont="1" applyBorder="1" applyAlignment="1">
      <alignment horizontal="center" vertical="center"/>
    </xf>
    <xf numFmtId="0" fontId="87" fillId="0" borderId="3" xfId="6" applyFont="1" applyBorder="1" applyAlignment="1">
      <alignment horizontal="center" vertical="center"/>
    </xf>
    <xf numFmtId="0" fontId="87" fillId="0" borderId="4" xfId="6" applyFont="1" applyBorder="1" applyAlignment="1">
      <alignment horizontal="center" vertical="center"/>
    </xf>
    <xf numFmtId="0" fontId="88" fillId="0" borderId="2" xfId="6" applyFont="1" applyBorder="1" applyAlignment="1">
      <alignment horizontal="center" vertical="center"/>
    </xf>
    <xf numFmtId="0" fontId="88" fillId="0" borderId="2" xfId="6" applyFont="1" applyBorder="1" applyAlignment="1">
      <alignment horizontal="center" vertical="center" wrapText="1"/>
    </xf>
    <xf numFmtId="0" fontId="88" fillId="0" borderId="2" xfId="6" applyFont="1" applyBorder="1" applyAlignment="1">
      <alignment horizontal="left" vertical="center" wrapText="1"/>
    </xf>
    <xf numFmtId="57" fontId="88" fillId="0" borderId="2" xfId="6" applyNumberFormat="1" applyFont="1" applyBorder="1" applyAlignment="1">
      <alignment horizontal="center" vertical="center"/>
    </xf>
    <xf numFmtId="38" fontId="88" fillId="0" borderId="2" xfId="2" applyFont="1" applyBorder="1" applyAlignment="1">
      <alignment horizontal="center" vertical="center"/>
    </xf>
    <xf numFmtId="3" fontId="88" fillId="0" borderId="2" xfId="6" applyNumberFormat="1" applyFont="1" applyBorder="1" applyAlignment="1">
      <alignment horizontal="center" vertical="center"/>
    </xf>
  </cellXfs>
  <cellStyles count="12">
    <cellStyle name="桁区切り 2" xfId="1"/>
    <cellStyle name="桁区切り 2 2" xfId="2"/>
    <cellStyle name="桁区切り 3" xfId="3"/>
    <cellStyle name="標準" xfId="0" builtinId="0"/>
    <cellStyle name="標準 2" xfId="4"/>
    <cellStyle name="標準 3" xfId="5"/>
    <cellStyle name="標準 3 2" xfId="6"/>
    <cellStyle name="標準_償却率表" xfId="7"/>
    <cellStyle name="標準_様式（共同作業日誌）_記入例" xfId="8"/>
    <cellStyle name="標準_減価償却計算1" xfId="9"/>
    <cellStyle name="標準_集落協定様式" xfId="10"/>
    <cellStyle name="桁区切り" xfId="1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_rels/drawing10.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5808980</xdr:colOff>
      <xdr:row>3</xdr:row>
      <xdr:rowOff>66675</xdr:rowOff>
    </xdr:from>
    <xdr:to xmlns:xdr="http://schemas.openxmlformats.org/drawingml/2006/spreadsheetDrawing">
      <xdr:col>2</xdr:col>
      <xdr:colOff>6706870</xdr:colOff>
      <xdr:row>3</xdr:row>
      <xdr:rowOff>286385</xdr:rowOff>
    </xdr:to>
    <xdr:sp macro="" textlink="">
      <xdr:nvSpPr>
        <xdr:cNvPr id="2" name="Rectangle 2"/>
        <xdr:cNvSpPr>
          <a:spLocks noChangeArrowheads="1"/>
        </xdr:cNvSpPr>
      </xdr:nvSpPr>
      <xdr:spPr>
        <a:xfrm>
          <a:off x="6189980" y="1133475"/>
          <a:ext cx="897890" cy="21971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参照</a:t>
          </a:r>
        </a:p>
      </xdr:txBody>
    </xdr:sp>
    <xdr:clientData/>
  </xdr:twoCellAnchor>
  <xdr:twoCellAnchor>
    <xdr:from xmlns:xdr="http://schemas.openxmlformats.org/drawingml/2006/spreadsheetDrawing">
      <xdr:col>2</xdr:col>
      <xdr:colOff>5815965</xdr:colOff>
      <xdr:row>1</xdr:row>
      <xdr:rowOff>111125</xdr:rowOff>
    </xdr:from>
    <xdr:to xmlns:xdr="http://schemas.openxmlformats.org/drawingml/2006/spreadsheetDrawing">
      <xdr:col>2</xdr:col>
      <xdr:colOff>6713855</xdr:colOff>
      <xdr:row>2</xdr:row>
      <xdr:rowOff>44450</xdr:rowOff>
    </xdr:to>
    <xdr:sp macro="" textlink="">
      <xdr:nvSpPr>
        <xdr:cNvPr id="3" name="Rectangle 3"/>
        <xdr:cNvSpPr>
          <a:spLocks noChangeArrowheads="1"/>
        </xdr:cNvSpPr>
      </xdr:nvSpPr>
      <xdr:spPr>
        <a:xfrm>
          <a:off x="6196965" y="511175"/>
          <a:ext cx="897890" cy="26670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参照</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4640580</xdr:colOff>
      <xdr:row>11</xdr:row>
      <xdr:rowOff>29210</xdr:rowOff>
    </xdr:from>
    <xdr:to xmlns:xdr="http://schemas.openxmlformats.org/drawingml/2006/spreadsheetDrawing">
      <xdr:col>2</xdr:col>
      <xdr:colOff>5122545</xdr:colOff>
      <xdr:row>12</xdr:row>
      <xdr:rowOff>142875</xdr:rowOff>
    </xdr:to>
    <xdr:sp macro="" textlink="">
      <xdr:nvSpPr>
        <xdr:cNvPr id="4" name="Rectangle 4"/>
        <xdr:cNvSpPr>
          <a:spLocks noChangeArrowheads="1"/>
        </xdr:cNvSpPr>
      </xdr:nvSpPr>
      <xdr:spPr>
        <a:xfrm>
          <a:off x="5021580" y="3372485"/>
          <a:ext cx="481965" cy="35179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③</a:t>
          </a:r>
        </a:p>
      </xdr:txBody>
    </xdr:sp>
    <xdr:clientData/>
  </xdr:twoCellAnchor>
  <xdr:twoCellAnchor>
    <xdr:from xmlns:xdr="http://schemas.openxmlformats.org/drawingml/2006/spreadsheetDrawing">
      <xdr:col>2</xdr:col>
      <xdr:colOff>3934460</xdr:colOff>
      <xdr:row>15</xdr:row>
      <xdr:rowOff>38100</xdr:rowOff>
    </xdr:from>
    <xdr:to xmlns:xdr="http://schemas.openxmlformats.org/drawingml/2006/spreadsheetDrawing">
      <xdr:col>2</xdr:col>
      <xdr:colOff>4488815</xdr:colOff>
      <xdr:row>16</xdr:row>
      <xdr:rowOff>200025</xdr:rowOff>
    </xdr:to>
    <xdr:sp macro="" textlink="">
      <xdr:nvSpPr>
        <xdr:cNvPr id="5" name="Rectangle 5"/>
        <xdr:cNvSpPr>
          <a:spLocks noChangeArrowheads="1"/>
        </xdr:cNvSpPr>
      </xdr:nvSpPr>
      <xdr:spPr>
        <a:xfrm>
          <a:off x="4315460" y="4362450"/>
          <a:ext cx="554355" cy="40005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④</a:t>
          </a:r>
        </a:p>
      </xdr:txBody>
    </xdr:sp>
    <xdr:clientData/>
  </xdr:twoCellAnchor>
  <xdr:twoCellAnchor>
    <xdr:from xmlns:xdr="http://schemas.openxmlformats.org/drawingml/2006/spreadsheetDrawing">
      <xdr:col>2</xdr:col>
      <xdr:colOff>4541520</xdr:colOff>
      <xdr:row>10</xdr:row>
      <xdr:rowOff>9525</xdr:rowOff>
    </xdr:from>
    <xdr:to xmlns:xdr="http://schemas.openxmlformats.org/drawingml/2006/spreadsheetDrawing">
      <xdr:col>2</xdr:col>
      <xdr:colOff>4601210</xdr:colOff>
      <xdr:row>13</xdr:row>
      <xdr:rowOff>0</xdr:rowOff>
    </xdr:to>
    <xdr:sp macro="" textlink="">
      <xdr:nvSpPr>
        <xdr:cNvPr id="18631" name="AutoShape 6"/>
        <xdr:cNvSpPr/>
      </xdr:nvSpPr>
      <xdr:spPr>
        <a:xfrm>
          <a:off x="4922520" y="3114675"/>
          <a:ext cx="59690" cy="704850"/>
        </a:xfrm>
        <a:prstGeom prst="rightBrace">
          <a:avLst>
            <a:gd name="adj1" fmla="val 102778"/>
            <a:gd name="adj2" fmla="val 50769"/>
          </a:avLst>
        </a:prstGeom>
        <a:noFill/>
        <a:ln w="9525">
          <a:solidFill>
            <a:srgbClr val="000000"/>
          </a:solidFill>
          <a:round/>
          <a:headEnd/>
          <a:tailEnd/>
        </a:ln>
      </xdr:spPr>
    </xdr:sp>
    <xdr:clientData/>
  </xdr:twoCellAnchor>
  <xdr:twoCellAnchor>
    <xdr:from xmlns:xdr="http://schemas.openxmlformats.org/drawingml/2006/spreadsheetDrawing">
      <xdr:col>2</xdr:col>
      <xdr:colOff>3954145</xdr:colOff>
      <xdr:row>14</xdr:row>
      <xdr:rowOff>18415</xdr:rowOff>
    </xdr:from>
    <xdr:to xmlns:xdr="http://schemas.openxmlformats.org/drawingml/2006/spreadsheetDrawing">
      <xdr:col>2</xdr:col>
      <xdr:colOff>4020185</xdr:colOff>
      <xdr:row>17</xdr:row>
      <xdr:rowOff>0</xdr:rowOff>
    </xdr:to>
    <xdr:sp macro="" textlink="">
      <xdr:nvSpPr>
        <xdr:cNvPr id="18632" name="AutoShape 7"/>
        <xdr:cNvSpPr/>
      </xdr:nvSpPr>
      <xdr:spPr>
        <a:xfrm>
          <a:off x="4335145" y="4104640"/>
          <a:ext cx="66040" cy="695960"/>
        </a:xfrm>
        <a:prstGeom prst="rightBrace">
          <a:avLst>
            <a:gd name="adj1" fmla="val 86905"/>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2</xdr:col>
      <xdr:colOff>2600960</xdr:colOff>
      <xdr:row>0</xdr:row>
      <xdr:rowOff>390525</xdr:rowOff>
    </xdr:to>
    <xdr:sp macro="" textlink="">
      <xdr:nvSpPr>
        <xdr:cNvPr id="12" name="フレーム 11"/>
        <xdr:cNvSpPr/>
      </xdr:nvSpPr>
      <xdr:spPr>
        <a:xfrm>
          <a:off x="0" y="0"/>
          <a:ext cx="2981960" cy="390525"/>
        </a:xfrm>
        <a:prstGeom prst="frame">
          <a:avLst/>
        </a:prstGeom>
        <a:solidFill>
          <a:srgbClr val="FFFFFF"/>
        </a:solidFill>
        <a:ln w="31750" cap="flat" cmpd="thickThin"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400" b="1"/>
            <a:t>収　支　報　告　書　作　成　手　順</a:t>
          </a:r>
        </a:p>
      </xdr:txBody>
    </xdr:sp>
    <xdr:clientData/>
  </xdr:twoCellAnchor>
  <xdr:twoCellAnchor>
    <xdr:from xmlns:xdr="http://schemas.openxmlformats.org/drawingml/2006/spreadsheetDrawing">
      <xdr:col>2</xdr:col>
      <xdr:colOff>5676900</xdr:colOff>
      <xdr:row>31</xdr:row>
      <xdr:rowOff>219710</xdr:rowOff>
    </xdr:from>
    <xdr:to xmlns:xdr="http://schemas.openxmlformats.org/drawingml/2006/spreadsheetDrawing">
      <xdr:col>2</xdr:col>
      <xdr:colOff>6562090</xdr:colOff>
      <xdr:row>32</xdr:row>
      <xdr:rowOff>172085</xdr:rowOff>
    </xdr:to>
    <xdr:sp macro="" textlink="">
      <xdr:nvSpPr>
        <xdr:cNvPr id="9" name="Rectangle 2"/>
        <xdr:cNvSpPr>
          <a:spLocks noChangeArrowheads="1"/>
        </xdr:cNvSpPr>
      </xdr:nvSpPr>
      <xdr:spPr>
        <a:xfrm>
          <a:off x="6057900" y="9687560"/>
          <a:ext cx="885190" cy="28575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参照</a:t>
          </a:r>
        </a:p>
      </xdr:txBody>
    </xdr:sp>
    <xdr:clientData/>
  </xdr:twoCellAnchor>
  <xdr:twoCellAnchor>
    <xdr:from xmlns:xdr="http://schemas.openxmlformats.org/drawingml/2006/spreadsheetDrawing">
      <xdr:col>2</xdr:col>
      <xdr:colOff>5670550</xdr:colOff>
      <xdr:row>28</xdr:row>
      <xdr:rowOff>114935</xdr:rowOff>
    </xdr:from>
    <xdr:to xmlns:xdr="http://schemas.openxmlformats.org/drawingml/2006/spreadsheetDrawing">
      <xdr:col>2</xdr:col>
      <xdr:colOff>6562090</xdr:colOff>
      <xdr:row>29</xdr:row>
      <xdr:rowOff>161290</xdr:rowOff>
    </xdr:to>
    <xdr:sp macro="" textlink="">
      <xdr:nvSpPr>
        <xdr:cNvPr id="10" name="Rectangle 3"/>
        <xdr:cNvSpPr>
          <a:spLocks noChangeArrowheads="1"/>
        </xdr:cNvSpPr>
      </xdr:nvSpPr>
      <xdr:spPr>
        <a:xfrm>
          <a:off x="6051550" y="8754110"/>
          <a:ext cx="891540" cy="322580"/>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資料</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参照</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323850</xdr:colOff>
      <xdr:row>6</xdr:row>
      <xdr:rowOff>331470</xdr:rowOff>
    </xdr:from>
    <xdr:to xmlns:xdr="http://schemas.openxmlformats.org/drawingml/2006/spreadsheetDrawing">
      <xdr:col>4</xdr:col>
      <xdr:colOff>838200</xdr:colOff>
      <xdr:row>6</xdr:row>
      <xdr:rowOff>3358515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247775" y="2646045"/>
          <a:ext cx="4276725" cy="3027045"/>
        </a:xfrm>
        <a:prstGeom prst="rect">
          <a:avLst/>
        </a:prstGeom>
        <a:noFill/>
        <a:ln>
          <a:noFill/>
        </a:ln>
      </xdr:spPr>
    </xdr:pic>
    <xdr:clientData/>
  </xdr:twoCellAnchor>
  <xdr:twoCellAnchor>
    <xdr:from xmlns:xdr="http://schemas.openxmlformats.org/drawingml/2006/spreadsheetDrawing">
      <xdr:col>4</xdr:col>
      <xdr:colOff>1019175</xdr:colOff>
      <xdr:row>6</xdr:row>
      <xdr:rowOff>676910</xdr:rowOff>
    </xdr:from>
    <xdr:to xmlns:xdr="http://schemas.openxmlformats.org/drawingml/2006/spreadsheetDrawing">
      <xdr:col>5</xdr:col>
      <xdr:colOff>962025</xdr:colOff>
      <xdr:row>6</xdr:row>
      <xdr:rowOff>3109595</xdr:rowOff>
    </xdr:to>
    <xdr:sp macro="" textlink="">
      <xdr:nvSpPr>
        <xdr:cNvPr id="3" name="角丸四角形吹き出し 2"/>
        <xdr:cNvSpPr/>
      </xdr:nvSpPr>
      <xdr:spPr>
        <a:xfrm>
          <a:off x="5705475" y="2991485"/>
          <a:ext cx="981075" cy="2432685"/>
        </a:xfrm>
        <a:prstGeom prst="wedgeRoundRectCallout">
          <a:avLst>
            <a:gd name="adj1" fmla="val -87288"/>
            <a:gd name="adj2" fmla="val -15235"/>
            <a:gd name="adj3" fmla="val 16667"/>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overflow" vert="eaVert" rtlCol="0" anchor="ctr"/>
        <a:lstStyle/>
        <a:p>
          <a:pPr algn="l">
            <a:lnSpc>
              <a:spcPts val="1300"/>
            </a:lnSpc>
          </a:pPr>
          <a:r>
            <a:rPr kumimoji="1" lang="ja-JP" altLang="en-US" sz="1100"/>
            <a:t>　写真が複数あり貼れない場合は、別紙か裏面にその他の写真を貼ってください。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9</xdr:col>
      <xdr:colOff>247650</xdr:colOff>
      <xdr:row>8</xdr:row>
      <xdr:rowOff>9525</xdr:rowOff>
    </xdr:from>
    <xdr:to xmlns:xdr="http://schemas.openxmlformats.org/drawingml/2006/spreadsheetDrawing">
      <xdr:col>9</xdr:col>
      <xdr:colOff>619125</xdr:colOff>
      <xdr:row>9</xdr:row>
      <xdr:rowOff>0</xdr:rowOff>
    </xdr:to>
    <xdr:sp macro="" textlink="">
      <xdr:nvSpPr>
        <xdr:cNvPr id="2" name="テキスト ボックス 1"/>
        <xdr:cNvSpPr txBox="1"/>
      </xdr:nvSpPr>
      <xdr:spPr>
        <a:xfrm>
          <a:off x="6419850" y="2143125"/>
          <a:ext cx="37147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algn="r"/>
          <a:r>
            <a:rPr kumimoji="1" lang="ja-JP" altLang="en-US" sz="1100">
              <a:latin typeface="ＭＳ 明朝"/>
              <a:ea typeface="ＭＳ 明朝"/>
            </a:rPr>
            <a:t>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5</xdr:col>
      <xdr:colOff>227965</xdr:colOff>
      <xdr:row>2</xdr:row>
      <xdr:rowOff>47625</xdr:rowOff>
    </xdr:from>
    <xdr:to xmlns:xdr="http://schemas.openxmlformats.org/drawingml/2006/spreadsheetDrawing">
      <xdr:col>5</xdr:col>
      <xdr:colOff>351790</xdr:colOff>
      <xdr:row>2</xdr:row>
      <xdr:rowOff>266065</xdr:rowOff>
    </xdr:to>
    <xdr:sp macro="" textlink="">
      <xdr:nvSpPr>
        <xdr:cNvPr id="4" name="図形 3"/>
        <xdr:cNvSpPr/>
      </xdr:nvSpPr>
      <xdr:spPr>
        <a:xfrm>
          <a:off x="7562215" y="733425"/>
          <a:ext cx="123825" cy="218440"/>
        </a:xfrm>
        <a:prstGeom prst="downArrow">
          <a:avLst/>
        </a:prstGeom>
        <a:noFill/>
        <a:ln w="38100" cmpd="dbl">
          <a:solidFill>
            <a:srgbClr val="000000"/>
          </a:solidFill>
          <a:miter lim="800000"/>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20</xdr:col>
      <xdr:colOff>11430</xdr:colOff>
      <xdr:row>13</xdr:row>
      <xdr:rowOff>89535</xdr:rowOff>
    </xdr:from>
    <xdr:to xmlns:xdr="http://schemas.openxmlformats.org/drawingml/2006/spreadsheetDrawing">
      <xdr:col>35</xdr:col>
      <xdr:colOff>173355</xdr:colOff>
      <xdr:row>14</xdr:row>
      <xdr:rowOff>526415</xdr:rowOff>
    </xdr:to>
    <xdr:sp macro="" textlink="">
      <xdr:nvSpPr>
        <xdr:cNvPr id="2" name="線吹き出し 1 (枠付き) 1"/>
        <xdr:cNvSpPr/>
      </xdr:nvSpPr>
      <xdr:spPr>
        <a:xfrm>
          <a:off x="3678555" y="4138295"/>
          <a:ext cx="3257550" cy="1008380"/>
        </a:xfrm>
        <a:prstGeom prst="borderCallout1">
          <a:avLst>
            <a:gd name="adj1" fmla="val -2361"/>
            <a:gd name="adj2" fmla="val 23318"/>
            <a:gd name="adj3" fmla="val -23650"/>
            <a:gd name="adj4" fmla="val -16847"/>
          </a:avLst>
        </a:prstGeom>
        <a:solidFill>
          <a:sysClr val="window" lastClr="FFFFFF"/>
        </a:solidFill>
        <a:ln>
          <a:solidFill>
            <a:sysClr val="windowText" lastClr="00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ysClr val="windowText" lastClr="000000"/>
              </a:solidFill>
            </a:rPr>
            <a:t>今年度の実施状況を記載</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未実施の場合は未実施と記載。最終年度までに未実施の場合は、体制単価分が遡及返還となりますのでご注意ください。</a:t>
          </a:r>
        </a:p>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18</xdr:col>
      <xdr:colOff>99060</xdr:colOff>
      <xdr:row>20</xdr:row>
      <xdr:rowOff>45085</xdr:rowOff>
    </xdr:from>
    <xdr:to xmlns:xdr="http://schemas.openxmlformats.org/drawingml/2006/spreadsheetDrawing">
      <xdr:col>34</xdr:col>
      <xdr:colOff>469265</xdr:colOff>
      <xdr:row>21</xdr:row>
      <xdr:rowOff>481965</xdr:rowOff>
    </xdr:to>
    <xdr:sp macro="" textlink="">
      <xdr:nvSpPr>
        <xdr:cNvPr id="3" name="線吹き出し 1 (枠付き) 2"/>
        <xdr:cNvSpPr/>
      </xdr:nvSpPr>
      <xdr:spPr>
        <a:xfrm>
          <a:off x="3404235" y="6579870"/>
          <a:ext cx="3265805" cy="1008380"/>
        </a:xfrm>
        <a:prstGeom prst="borderCallout1">
          <a:avLst>
            <a:gd name="adj1" fmla="val -3472"/>
            <a:gd name="adj2" fmla="val 51012"/>
            <a:gd name="adj3" fmla="val -35872"/>
            <a:gd name="adj4" fmla="val 38146"/>
          </a:avLst>
        </a:prstGeom>
        <a:solidFill>
          <a:sysClr val="window" lastClr="FFFFFF"/>
        </a:solidFill>
        <a:ln>
          <a:solidFill>
            <a:sysClr val="windowText" lastClr="00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集落戦略の実現に向けた話合いについて、議題となった主な内容を記載してください。</a:t>
          </a:r>
        </a:p>
      </xdr:txBody>
    </xdr:sp>
    <xdr:clientData/>
  </xdr:twoCellAnchor>
  <xdr:twoCellAnchor>
    <xdr:from xmlns:xdr="http://schemas.openxmlformats.org/drawingml/2006/spreadsheetDrawing">
      <xdr:col>17</xdr:col>
      <xdr:colOff>142240</xdr:colOff>
      <xdr:row>22</xdr:row>
      <xdr:rowOff>55880</xdr:rowOff>
    </xdr:from>
    <xdr:to xmlns:xdr="http://schemas.openxmlformats.org/drawingml/2006/spreadsheetDrawing">
      <xdr:col>34</xdr:col>
      <xdr:colOff>494030</xdr:colOff>
      <xdr:row>27</xdr:row>
      <xdr:rowOff>43815</xdr:rowOff>
    </xdr:to>
    <xdr:sp macro="" textlink="">
      <xdr:nvSpPr>
        <xdr:cNvPr id="4" name="線吹き出し 1 (枠付き) 3"/>
        <xdr:cNvSpPr/>
      </xdr:nvSpPr>
      <xdr:spPr>
        <a:xfrm>
          <a:off x="3266440" y="7733665"/>
          <a:ext cx="3428365" cy="1073785"/>
        </a:xfrm>
        <a:prstGeom prst="borderCallout1">
          <a:avLst>
            <a:gd name="adj1" fmla="val 109276"/>
            <a:gd name="adj2" fmla="val 46684"/>
            <a:gd name="adj3" fmla="val 127135"/>
            <a:gd name="adj4" fmla="val 60144"/>
          </a:avLst>
        </a:prstGeom>
        <a:solidFill>
          <a:sysClr val="window" lastClr="FFFFFF"/>
        </a:solidFill>
        <a:ln>
          <a:solidFill>
            <a:sysClr val="windowText" lastClr="000000"/>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ysClr val="windowText" lastClr="000000"/>
              </a:solidFill>
            </a:rPr>
            <a:t>今年度の実施状況を記載。過年度に達成したものがある場合は（）に達成状況を記載。</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未実施の場合は未実施と記載。最終年度までに未達成の場合は、加算分が遡及返還となりますのでご注意ください。</a:t>
          </a:r>
        </a:p>
        <a:p>
          <a:pPr algn="l">
            <a:lnSpc>
              <a:spcPts val="1100"/>
            </a:lnSpc>
          </a:pPr>
          <a:endParaRPr kumimoji="1" lang="ja-JP" altLang="en-US" sz="1100">
            <a:solidFill>
              <a:sysClr val="windowText" lastClr="000000"/>
            </a:solidFill>
          </a:endParaRPr>
        </a:p>
      </xdr:txBody>
    </xdr:sp>
    <xdr:clientData/>
  </xdr:twoCellAnchor>
  <xdr:twoCellAnchor>
    <xdr:from xmlns:xdr="http://schemas.openxmlformats.org/drawingml/2006/spreadsheetDrawing">
      <xdr:col>17</xdr:col>
      <xdr:colOff>110490</xdr:colOff>
      <xdr:row>49</xdr:row>
      <xdr:rowOff>33655</xdr:rowOff>
    </xdr:from>
    <xdr:to xmlns:xdr="http://schemas.openxmlformats.org/drawingml/2006/spreadsheetDrawing">
      <xdr:col>34</xdr:col>
      <xdr:colOff>142240</xdr:colOff>
      <xdr:row>59</xdr:row>
      <xdr:rowOff>111760</xdr:rowOff>
    </xdr:to>
    <xdr:sp macro="" textlink="">
      <xdr:nvSpPr>
        <xdr:cNvPr id="5" name="線吹き出し 1 (枠付き) 4"/>
        <xdr:cNvSpPr/>
      </xdr:nvSpPr>
      <xdr:spPr>
        <a:xfrm>
          <a:off x="3234690" y="18537555"/>
          <a:ext cx="3108325" cy="1602105"/>
        </a:xfrm>
        <a:prstGeom prst="borderCallout1">
          <a:avLst>
            <a:gd name="adj1" fmla="val -9671"/>
            <a:gd name="adj2" fmla="val 64184"/>
            <a:gd name="adj3" fmla="val -42167"/>
            <a:gd name="adj4" fmla="val 75977"/>
          </a:avLst>
        </a:prstGeom>
        <a:solidFill>
          <a:sysClr val="window" lastClr="FFFFFF"/>
        </a:solidFill>
        <a:ln>
          <a:solidFill>
            <a:sysClr val="windowText" lastClr="000000"/>
          </a:solidFill>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今年度の実施状況を記載。過年度に達成したものがある場合は（）に達成状況を記載。達成されていない場合は、次年度以降の予定を合わせて記載。</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未実施の場合は未実施と記載。最終年度までに未達成の場合は、加算分が遡及返還となりますのでご注意ください。</a:t>
          </a:r>
        </a:p>
        <a:p>
          <a:pPr algn="l">
            <a:lnSpc>
              <a:spcPts val="1200"/>
            </a:lnSpc>
          </a:pPr>
          <a:endParaRPr kumimoji="1" lang="ja-JP" altLang="en-US"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9</xdr:col>
      <xdr:colOff>104775</xdr:colOff>
      <xdr:row>17</xdr:row>
      <xdr:rowOff>161925</xdr:rowOff>
    </xdr:from>
    <xdr:to xmlns:xdr="http://schemas.openxmlformats.org/drawingml/2006/spreadsheetDrawing">
      <xdr:col>10</xdr:col>
      <xdr:colOff>590550</xdr:colOff>
      <xdr:row>21</xdr:row>
      <xdr:rowOff>86360</xdr:rowOff>
    </xdr:to>
    <xdr:sp macro="" textlink="">
      <xdr:nvSpPr>
        <xdr:cNvPr id="2" name="テキスト ボックス 1"/>
        <xdr:cNvSpPr txBox="1"/>
      </xdr:nvSpPr>
      <xdr:spPr>
        <a:xfrm>
          <a:off x="8039100" y="5624830"/>
          <a:ext cx="1171575" cy="9455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交付金と交付金以外（自己資金など）の内訳を記入。</a:t>
          </a:r>
        </a:p>
      </xdr:txBody>
    </xdr:sp>
    <xdr:clientData/>
  </xdr:twoCellAnchor>
  <xdr:twoCellAnchor>
    <xdr:from xmlns:xdr="http://schemas.openxmlformats.org/drawingml/2006/spreadsheetDrawing">
      <xdr:col>9</xdr:col>
      <xdr:colOff>104775</xdr:colOff>
      <xdr:row>12</xdr:row>
      <xdr:rowOff>95885</xdr:rowOff>
    </xdr:from>
    <xdr:to xmlns:xdr="http://schemas.openxmlformats.org/drawingml/2006/spreadsheetDrawing">
      <xdr:col>9</xdr:col>
      <xdr:colOff>561975</xdr:colOff>
      <xdr:row>17</xdr:row>
      <xdr:rowOff>161925</xdr:rowOff>
    </xdr:to>
    <xdr:cxnSp macro="">
      <xdr:nvCxnSpPr>
        <xdr:cNvPr id="3" name="直線矢印コネクタ 2"/>
        <xdr:cNvCxnSpPr/>
      </xdr:nvCxnSpPr>
      <xdr:spPr>
        <a:xfrm flipV="1">
          <a:off x="8039100" y="3653790"/>
          <a:ext cx="457200" cy="19710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137795</xdr:colOff>
      <xdr:row>11</xdr:row>
      <xdr:rowOff>76200</xdr:rowOff>
    </xdr:from>
    <xdr:to xmlns:xdr="http://schemas.openxmlformats.org/drawingml/2006/spreadsheetDrawing">
      <xdr:col>10</xdr:col>
      <xdr:colOff>338455</xdr:colOff>
      <xdr:row>11</xdr:row>
      <xdr:rowOff>328930</xdr:rowOff>
    </xdr:to>
    <xdr:sp macro="" textlink="">
      <xdr:nvSpPr>
        <xdr:cNvPr id="4" name="左中かっこ 3"/>
        <xdr:cNvSpPr/>
      </xdr:nvSpPr>
      <xdr:spPr>
        <a:xfrm rot="16200000">
          <a:off x="8072120" y="3253105"/>
          <a:ext cx="886460" cy="252730"/>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38100</xdr:colOff>
      <xdr:row>17</xdr:row>
      <xdr:rowOff>161925</xdr:rowOff>
    </xdr:from>
    <xdr:to xmlns:xdr="http://schemas.openxmlformats.org/drawingml/2006/spreadsheetDrawing">
      <xdr:col>12</xdr:col>
      <xdr:colOff>914400</xdr:colOff>
      <xdr:row>20</xdr:row>
      <xdr:rowOff>152400</xdr:rowOff>
    </xdr:to>
    <xdr:sp macro="" textlink="">
      <xdr:nvSpPr>
        <xdr:cNvPr id="5" name="テキスト ボックス 4"/>
        <xdr:cNvSpPr txBox="1"/>
      </xdr:nvSpPr>
      <xdr:spPr>
        <a:xfrm>
          <a:off x="9344025" y="5624830"/>
          <a:ext cx="1562100" cy="75628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法定耐用年数を記入（確定申告などで用いる耐用年数と同じです。</a:t>
          </a:r>
        </a:p>
      </xdr:txBody>
    </xdr:sp>
    <xdr:clientData/>
  </xdr:twoCellAnchor>
  <xdr:twoCellAnchor>
    <xdr:from xmlns:xdr="http://schemas.openxmlformats.org/drawingml/2006/spreadsheetDrawing">
      <xdr:col>11</xdr:col>
      <xdr:colOff>38100</xdr:colOff>
      <xdr:row>11</xdr:row>
      <xdr:rowOff>143510</xdr:rowOff>
    </xdr:from>
    <xdr:to xmlns:xdr="http://schemas.openxmlformats.org/drawingml/2006/spreadsheetDrawing">
      <xdr:col>11</xdr:col>
      <xdr:colOff>361950</xdr:colOff>
      <xdr:row>17</xdr:row>
      <xdr:rowOff>171450</xdr:rowOff>
    </xdr:to>
    <xdr:cxnSp macro="">
      <xdr:nvCxnSpPr>
        <xdr:cNvPr id="6" name="直線矢印コネクタ 5"/>
        <xdr:cNvCxnSpPr/>
      </xdr:nvCxnSpPr>
      <xdr:spPr>
        <a:xfrm flipV="1">
          <a:off x="9344025" y="3320415"/>
          <a:ext cx="323850" cy="23139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252730</xdr:colOff>
      <xdr:row>11</xdr:row>
      <xdr:rowOff>76200</xdr:rowOff>
    </xdr:from>
    <xdr:to xmlns:xdr="http://schemas.openxmlformats.org/drawingml/2006/spreadsheetDrawing">
      <xdr:col>6</xdr:col>
      <xdr:colOff>452755</xdr:colOff>
      <xdr:row>11</xdr:row>
      <xdr:rowOff>328930</xdr:rowOff>
    </xdr:to>
    <xdr:sp macro="" textlink="">
      <xdr:nvSpPr>
        <xdr:cNvPr id="7" name="左中かっこ 6"/>
        <xdr:cNvSpPr/>
      </xdr:nvSpPr>
      <xdr:spPr>
        <a:xfrm rot="16200000">
          <a:off x="5177155" y="3253105"/>
          <a:ext cx="885825" cy="252730"/>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171450</xdr:colOff>
      <xdr:row>17</xdr:row>
      <xdr:rowOff>161925</xdr:rowOff>
    </xdr:from>
    <xdr:to xmlns:xdr="http://schemas.openxmlformats.org/drawingml/2006/spreadsheetDrawing">
      <xdr:col>6</xdr:col>
      <xdr:colOff>657225</xdr:colOff>
      <xdr:row>21</xdr:row>
      <xdr:rowOff>86360</xdr:rowOff>
    </xdr:to>
    <xdr:sp macro="" textlink="">
      <xdr:nvSpPr>
        <xdr:cNvPr id="8" name="テキスト ボックス 7"/>
        <xdr:cNvSpPr txBox="1"/>
      </xdr:nvSpPr>
      <xdr:spPr>
        <a:xfrm>
          <a:off x="5095875" y="5624830"/>
          <a:ext cx="1171575" cy="9455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着工年月日は発注日等、完了年月日は納品日等を記入。</a:t>
          </a:r>
        </a:p>
      </xdr:txBody>
    </xdr:sp>
    <xdr:clientData/>
  </xdr:twoCellAnchor>
  <xdr:twoCellAnchor>
    <xdr:from xmlns:xdr="http://schemas.openxmlformats.org/drawingml/2006/spreadsheetDrawing">
      <xdr:col>5</xdr:col>
      <xdr:colOff>180975</xdr:colOff>
      <xdr:row>12</xdr:row>
      <xdr:rowOff>95885</xdr:rowOff>
    </xdr:from>
    <xdr:to xmlns:xdr="http://schemas.openxmlformats.org/drawingml/2006/spreadsheetDrawing">
      <xdr:col>5</xdr:col>
      <xdr:colOff>638175</xdr:colOff>
      <xdr:row>17</xdr:row>
      <xdr:rowOff>161925</xdr:rowOff>
    </xdr:to>
    <xdr:cxnSp macro="">
      <xdr:nvCxnSpPr>
        <xdr:cNvPr id="9" name="直線矢印コネクタ 8"/>
        <xdr:cNvCxnSpPr/>
      </xdr:nvCxnSpPr>
      <xdr:spPr>
        <a:xfrm flipV="1">
          <a:off x="5105400" y="3653790"/>
          <a:ext cx="457200" cy="19710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254000</xdr:colOff>
      <xdr:row>1</xdr:row>
      <xdr:rowOff>171450</xdr:rowOff>
    </xdr:from>
    <xdr:to xmlns:xdr="http://schemas.openxmlformats.org/drawingml/2006/spreadsheetDrawing">
      <xdr:col>15</xdr:col>
      <xdr:colOff>885825</xdr:colOff>
      <xdr:row>4</xdr:row>
      <xdr:rowOff>285750</xdr:rowOff>
    </xdr:to>
    <xdr:sp macro="" textlink="">
      <xdr:nvSpPr>
        <xdr:cNvPr id="10" name="テキスト ボックス 9"/>
        <xdr:cNvSpPr txBox="1"/>
      </xdr:nvSpPr>
      <xdr:spPr>
        <a:xfrm>
          <a:off x="8188325" y="342900"/>
          <a:ext cx="5241925" cy="62865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購入の全部又は一部を中山間地域等直接支払交付金を財源として取得した現存する購入額５０万円以上の資産を全て記入してください。</a:t>
          </a:r>
        </a:p>
      </xdr:txBody>
    </xdr:sp>
    <xdr:clientData/>
  </xdr:twoCellAnchor>
  <xdr:twoCellAnchor>
    <xdr:from xmlns:xdr="http://schemas.openxmlformats.org/drawingml/2006/spreadsheetDrawing">
      <xdr:col>1</xdr:col>
      <xdr:colOff>581025</xdr:colOff>
      <xdr:row>2</xdr:row>
      <xdr:rowOff>29210</xdr:rowOff>
    </xdr:from>
    <xdr:to xmlns:xdr="http://schemas.openxmlformats.org/drawingml/2006/spreadsheetDrawing">
      <xdr:col>4</xdr:col>
      <xdr:colOff>381000</xdr:colOff>
      <xdr:row>4</xdr:row>
      <xdr:rowOff>337185</xdr:rowOff>
    </xdr:to>
    <xdr:sp macro="" textlink="">
      <xdr:nvSpPr>
        <xdr:cNvPr id="11" name="AutoShape 1"/>
        <xdr:cNvSpPr>
          <a:spLocks noChangeArrowheads="1"/>
        </xdr:cNvSpPr>
      </xdr:nvSpPr>
      <xdr:spPr>
        <a:xfrm>
          <a:off x="942975" y="372110"/>
          <a:ext cx="2809875" cy="650875"/>
        </a:xfrm>
        <a:prstGeom prst="roundRect">
          <a:avLst>
            <a:gd name="adj" fmla="val 16667"/>
          </a:avLst>
        </a:prstGeom>
        <a:solidFill>
          <a:srgbClr val="FFFFFF"/>
        </a:solidFill>
        <a:ln w="63500" cmpd="thickThin">
          <a:solidFill>
            <a:srgbClr val="000000"/>
          </a:solidFill>
          <a:round/>
          <a:headEnd/>
          <a:tailEnd/>
        </a:ln>
        <a:effectLst/>
      </xdr:spPr>
      <xdr:txBody>
        <a:bodyPr vertOverflow="clip" horzOverflow="overflow" wrap="square" lIns="74295" tIns="8890" rIns="74295" bIns="8890" anchor="ctr" upright="1"/>
        <a:lstStyle/>
        <a:p>
          <a:pPr algn="ctr" rtl="0">
            <a:defRPr sz="1000"/>
          </a:pPr>
          <a:r>
            <a:rPr lang="ja-JP" altLang="en-US" sz="2200" b="0" i="0" u="none" strike="noStrike" baseline="0">
              <a:solidFill>
                <a:srgbClr val="000000"/>
              </a:solidFill>
              <a:latin typeface="ＭＳ ゴシック"/>
              <a:ea typeface="ＭＳ ゴシック"/>
            </a:rPr>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0</xdr:row>
      <xdr:rowOff>57785</xdr:rowOff>
    </xdr:from>
    <xdr:to xmlns:xdr="http://schemas.openxmlformats.org/drawingml/2006/spreadsheetDrawing">
      <xdr:col>0</xdr:col>
      <xdr:colOff>923925</xdr:colOff>
      <xdr:row>1</xdr:row>
      <xdr:rowOff>94615</xdr:rowOff>
    </xdr:to>
    <xdr:sp macro="" textlink="">
      <xdr:nvSpPr>
        <xdr:cNvPr id="2" name="Rectangle 3"/>
        <xdr:cNvSpPr>
          <a:spLocks noChangeArrowheads="1"/>
        </xdr:cNvSpPr>
      </xdr:nvSpPr>
      <xdr:spPr>
        <a:xfrm>
          <a:off x="66675" y="57785"/>
          <a:ext cx="857250" cy="294005"/>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FGP丸ｺﾞｼｯｸ体Ca-U"/>
              <a:ea typeface="FGP丸ｺﾞｼｯｸ体Ca-U"/>
            </a:rPr>
            <a:t>資料１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198120</xdr:colOff>
      <xdr:row>0</xdr:row>
      <xdr:rowOff>66040</xdr:rowOff>
    </xdr:from>
    <xdr:to xmlns:xdr="http://schemas.openxmlformats.org/drawingml/2006/spreadsheetDrawing">
      <xdr:col>1</xdr:col>
      <xdr:colOff>271145</xdr:colOff>
      <xdr:row>1</xdr:row>
      <xdr:rowOff>73025</xdr:rowOff>
    </xdr:to>
    <xdr:sp macro="" textlink="">
      <xdr:nvSpPr>
        <xdr:cNvPr id="2" name="Rectangle 3"/>
        <xdr:cNvSpPr>
          <a:spLocks noChangeArrowheads="1"/>
        </xdr:cNvSpPr>
      </xdr:nvSpPr>
      <xdr:spPr>
        <a:xfrm>
          <a:off x="198120" y="66040"/>
          <a:ext cx="568325" cy="178435"/>
        </a:xfrm>
        <a:prstGeom prst="rect">
          <a:avLst/>
        </a:prstGeom>
        <a:no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000" b="0" i="0" u="none" strike="noStrike" baseline="0">
              <a:solidFill>
                <a:srgbClr val="000000"/>
              </a:solidFill>
              <a:latin typeface="FGP丸ｺﾞｼｯｸ体Ca-U"/>
              <a:ea typeface="FGP丸ｺﾞｼｯｸ体Ca-U"/>
            </a:rPr>
            <a:t>資料</a:t>
          </a:r>
          <a:r>
            <a:rPr lang="en-US" altLang="ja-JP" sz="1000" b="0" i="0" u="none" strike="noStrike" baseline="0">
              <a:solidFill>
                <a:srgbClr val="000000"/>
              </a:solidFill>
              <a:latin typeface="FGP丸ｺﾞｼｯｸ体Ca-U"/>
              <a:ea typeface="FGP丸ｺﾞｼｯｸ体Ca-U"/>
            </a:rPr>
            <a:t>2</a:t>
          </a:r>
          <a:endParaRPr lang="ja-JP" altLang="en-US" sz="1000" b="0" i="0" u="none" strike="noStrike" baseline="0">
            <a:solidFill>
              <a:srgbClr val="000000"/>
            </a:solidFill>
            <a:latin typeface="FGP丸ｺﾞｼｯｸ体Ca-U"/>
            <a:ea typeface="FGP丸ｺﾞｼｯｸ体Ca-U"/>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18</xdr:col>
      <xdr:colOff>710565</xdr:colOff>
      <xdr:row>0</xdr:row>
      <xdr:rowOff>76200</xdr:rowOff>
    </xdr:from>
    <xdr:to xmlns:xdr="http://schemas.openxmlformats.org/drawingml/2006/spreadsheetDrawing">
      <xdr:col>19</xdr:col>
      <xdr:colOff>222885</xdr:colOff>
      <xdr:row>1</xdr:row>
      <xdr:rowOff>142240</xdr:rowOff>
    </xdr:to>
    <xdr:sp macro="" textlink="">
      <xdr:nvSpPr>
        <xdr:cNvPr id="9" name="AutoShape 8"/>
        <xdr:cNvSpPr>
          <a:spLocks noChangeArrowheads="1"/>
        </xdr:cNvSpPr>
      </xdr:nvSpPr>
      <xdr:spPr>
        <a:xfrm>
          <a:off x="12140565" y="76200"/>
          <a:ext cx="321945" cy="247015"/>
        </a:xfrm>
        <a:prstGeom prst="wedgeRoundRectCallout">
          <a:avLst>
            <a:gd name="adj1" fmla="val -64287"/>
            <a:gd name="adj2" fmla="val 95454"/>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①</a:t>
          </a:r>
        </a:p>
      </xdr:txBody>
    </xdr:sp>
    <xdr:clientData/>
  </xdr:twoCellAnchor>
  <xdr:twoCellAnchor>
    <xdr:from xmlns:xdr="http://schemas.openxmlformats.org/drawingml/2006/spreadsheetDrawing">
      <xdr:col>5</xdr:col>
      <xdr:colOff>31115</xdr:colOff>
      <xdr:row>1</xdr:row>
      <xdr:rowOff>287020</xdr:rowOff>
    </xdr:from>
    <xdr:to xmlns:xdr="http://schemas.openxmlformats.org/drawingml/2006/spreadsheetDrawing">
      <xdr:col>5</xdr:col>
      <xdr:colOff>364490</xdr:colOff>
      <xdr:row>3</xdr:row>
      <xdr:rowOff>38735</xdr:rowOff>
    </xdr:to>
    <xdr:sp macro="" textlink="">
      <xdr:nvSpPr>
        <xdr:cNvPr id="10" name="AutoShape 9"/>
        <xdr:cNvSpPr>
          <a:spLocks noChangeArrowheads="1"/>
        </xdr:cNvSpPr>
      </xdr:nvSpPr>
      <xdr:spPr>
        <a:xfrm>
          <a:off x="2364740" y="467995"/>
          <a:ext cx="333375" cy="247015"/>
        </a:xfrm>
        <a:prstGeom prst="wedgeRoundRectCallout">
          <a:avLst>
            <a:gd name="adj1" fmla="val 70000"/>
            <a:gd name="adj2" fmla="val 86366"/>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②</a:t>
          </a:r>
        </a:p>
      </xdr:txBody>
    </xdr:sp>
    <xdr:clientData/>
  </xdr:twoCellAnchor>
  <xdr:twoCellAnchor>
    <xdr:from xmlns:xdr="http://schemas.openxmlformats.org/drawingml/2006/spreadsheetDrawing">
      <xdr:col>10</xdr:col>
      <xdr:colOff>27305</xdr:colOff>
      <xdr:row>7</xdr:row>
      <xdr:rowOff>99060</xdr:rowOff>
    </xdr:from>
    <xdr:to xmlns:xdr="http://schemas.openxmlformats.org/drawingml/2006/spreadsheetDrawing">
      <xdr:col>10</xdr:col>
      <xdr:colOff>363855</xdr:colOff>
      <xdr:row>8</xdr:row>
      <xdr:rowOff>143510</xdr:rowOff>
    </xdr:to>
    <xdr:sp macro="" textlink="">
      <xdr:nvSpPr>
        <xdr:cNvPr id="11" name="AutoShape 10"/>
        <xdr:cNvSpPr>
          <a:spLocks noChangeArrowheads="1"/>
        </xdr:cNvSpPr>
      </xdr:nvSpPr>
      <xdr:spPr>
        <a:xfrm>
          <a:off x="5504180" y="1575435"/>
          <a:ext cx="336550" cy="244475"/>
        </a:xfrm>
        <a:prstGeom prst="wedgeRoundRectCallout">
          <a:avLst>
            <a:gd name="adj1" fmla="val -124074"/>
            <a:gd name="adj2" fmla="val 77273"/>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③</a:t>
          </a:r>
        </a:p>
      </xdr:txBody>
    </xdr:sp>
    <xdr:clientData/>
  </xdr:twoCellAnchor>
  <xdr:twoCellAnchor>
    <xdr:from xmlns:xdr="http://schemas.openxmlformats.org/drawingml/2006/spreadsheetDrawing">
      <xdr:col>3</xdr:col>
      <xdr:colOff>63500</xdr:colOff>
      <xdr:row>15</xdr:row>
      <xdr:rowOff>500380</xdr:rowOff>
    </xdr:from>
    <xdr:to xmlns:xdr="http://schemas.openxmlformats.org/drawingml/2006/spreadsheetDrawing">
      <xdr:col>3</xdr:col>
      <xdr:colOff>360045</xdr:colOff>
      <xdr:row>17</xdr:row>
      <xdr:rowOff>4445</xdr:rowOff>
    </xdr:to>
    <xdr:sp macro="" textlink="">
      <xdr:nvSpPr>
        <xdr:cNvPr id="12" name="AutoShape 13"/>
        <xdr:cNvSpPr>
          <a:spLocks noChangeArrowheads="1"/>
        </xdr:cNvSpPr>
      </xdr:nvSpPr>
      <xdr:spPr>
        <a:xfrm>
          <a:off x="968375" y="3576955"/>
          <a:ext cx="296545" cy="256540"/>
        </a:xfrm>
        <a:prstGeom prst="wedgeRoundRectCallout">
          <a:avLst>
            <a:gd name="adj1" fmla="val -1611"/>
            <a:gd name="adj2" fmla="val 261111"/>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strike="noStrike">
              <a:solidFill>
                <a:srgbClr val="000000"/>
              </a:solidFill>
              <a:latin typeface="ＭＳ Ｐゴシック"/>
              <a:ea typeface="ＭＳ Ｐゴシック"/>
            </a:rPr>
            <a:t>⑥</a:t>
          </a:r>
        </a:p>
      </xdr:txBody>
    </xdr:sp>
    <xdr:clientData/>
  </xdr:twoCellAnchor>
  <xdr:twoCellAnchor>
    <xdr:from xmlns:xdr="http://schemas.openxmlformats.org/drawingml/2006/spreadsheetDrawing">
      <xdr:col>3</xdr:col>
      <xdr:colOff>1160145</xdr:colOff>
      <xdr:row>15</xdr:row>
      <xdr:rowOff>500380</xdr:rowOff>
    </xdr:from>
    <xdr:to xmlns:xdr="http://schemas.openxmlformats.org/drawingml/2006/spreadsheetDrawing">
      <xdr:col>5</xdr:col>
      <xdr:colOff>25400</xdr:colOff>
      <xdr:row>17</xdr:row>
      <xdr:rowOff>13335</xdr:rowOff>
    </xdr:to>
    <xdr:sp macro="" textlink="">
      <xdr:nvSpPr>
        <xdr:cNvPr id="13" name="AutoShape 14"/>
        <xdr:cNvSpPr>
          <a:spLocks noChangeArrowheads="1"/>
        </xdr:cNvSpPr>
      </xdr:nvSpPr>
      <xdr:spPr>
        <a:xfrm>
          <a:off x="2065020" y="3576955"/>
          <a:ext cx="294005" cy="265430"/>
        </a:xfrm>
        <a:prstGeom prst="wedgeRoundRectCallout">
          <a:avLst>
            <a:gd name="adj1" fmla="val 114515"/>
            <a:gd name="adj2" fmla="val 242856"/>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strike="noStrike">
              <a:solidFill>
                <a:srgbClr val="000000"/>
              </a:solidFill>
              <a:latin typeface="ＭＳ Ｐゴシック"/>
              <a:ea typeface="ＭＳ Ｐゴシック"/>
            </a:rPr>
            <a:t>⑦</a:t>
          </a:r>
        </a:p>
      </xdr:txBody>
    </xdr:sp>
    <xdr:clientData/>
  </xdr:twoCellAnchor>
  <xdr:twoCellAnchor>
    <xdr:from xmlns:xdr="http://schemas.openxmlformats.org/drawingml/2006/spreadsheetDrawing">
      <xdr:col>6</xdr:col>
      <xdr:colOff>41275</xdr:colOff>
      <xdr:row>15</xdr:row>
      <xdr:rowOff>500380</xdr:rowOff>
    </xdr:from>
    <xdr:to xmlns:xdr="http://schemas.openxmlformats.org/drawingml/2006/spreadsheetDrawing">
      <xdr:col>6</xdr:col>
      <xdr:colOff>336550</xdr:colOff>
      <xdr:row>16</xdr:row>
      <xdr:rowOff>234315</xdr:rowOff>
    </xdr:to>
    <xdr:sp macro="" textlink="">
      <xdr:nvSpPr>
        <xdr:cNvPr id="14" name="AutoShape 15"/>
        <xdr:cNvSpPr>
          <a:spLocks noChangeArrowheads="1"/>
        </xdr:cNvSpPr>
      </xdr:nvSpPr>
      <xdr:spPr>
        <a:xfrm>
          <a:off x="3108325" y="3576955"/>
          <a:ext cx="295275" cy="248285"/>
        </a:xfrm>
        <a:prstGeom prst="wedgeRoundRectCallout">
          <a:avLst>
            <a:gd name="adj1" fmla="val -14514"/>
            <a:gd name="adj2" fmla="val 269231"/>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⑧</a:t>
          </a:r>
        </a:p>
      </xdr:txBody>
    </xdr:sp>
    <xdr:clientData/>
  </xdr:twoCellAnchor>
  <xdr:twoCellAnchor>
    <xdr:from xmlns:xdr="http://schemas.openxmlformats.org/drawingml/2006/spreadsheetDrawing">
      <xdr:col>7</xdr:col>
      <xdr:colOff>347980</xdr:colOff>
      <xdr:row>15</xdr:row>
      <xdr:rowOff>492125</xdr:rowOff>
    </xdr:from>
    <xdr:to xmlns:xdr="http://schemas.openxmlformats.org/drawingml/2006/spreadsheetDrawing">
      <xdr:col>7</xdr:col>
      <xdr:colOff>650875</xdr:colOff>
      <xdr:row>16</xdr:row>
      <xdr:rowOff>234315</xdr:rowOff>
    </xdr:to>
    <xdr:sp macro="" textlink="">
      <xdr:nvSpPr>
        <xdr:cNvPr id="15" name="AutoShape 16"/>
        <xdr:cNvSpPr>
          <a:spLocks noChangeArrowheads="1"/>
        </xdr:cNvSpPr>
      </xdr:nvSpPr>
      <xdr:spPr>
        <a:xfrm>
          <a:off x="4415155" y="3568700"/>
          <a:ext cx="302895" cy="256540"/>
        </a:xfrm>
        <a:prstGeom prst="wedgeRoundRectCallout">
          <a:avLst>
            <a:gd name="adj1" fmla="val -85486"/>
            <a:gd name="adj2" fmla="val 246296"/>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⑨</a:t>
          </a:r>
        </a:p>
      </xdr:txBody>
    </xdr:sp>
    <xdr:clientData/>
  </xdr:twoCellAnchor>
  <xdr:twoCellAnchor>
    <xdr:from xmlns:xdr="http://schemas.openxmlformats.org/drawingml/2006/spreadsheetDrawing">
      <xdr:col>10</xdr:col>
      <xdr:colOff>203200</xdr:colOff>
      <xdr:row>15</xdr:row>
      <xdr:rowOff>508000</xdr:rowOff>
    </xdr:from>
    <xdr:to xmlns:xdr="http://schemas.openxmlformats.org/drawingml/2006/spreadsheetDrawing">
      <xdr:col>10</xdr:col>
      <xdr:colOff>459740</xdr:colOff>
      <xdr:row>17</xdr:row>
      <xdr:rowOff>15875</xdr:rowOff>
    </xdr:to>
    <xdr:sp macro="" textlink="">
      <xdr:nvSpPr>
        <xdr:cNvPr id="16" name="AutoShape 17"/>
        <xdr:cNvSpPr>
          <a:spLocks noChangeArrowheads="1"/>
        </xdr:cNvSpPr>
      </xdr:nvSpPr>
      <xdr:spPr>
        <a:xfrm>
          <a:off x="5680075" y="3584575"/>
          <a:ext cx="256540" cy="260350"/>
        </a:xfrm>
        <a:prstGeom prst="wedgeRoundRectCallout">
          <a:avLst>
            <a:gd name="adj1" fmla="val -142593"/>
            <a:gd name="adj2" fmla="val 253704"/>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⑩</a:t>
          </a:r>
        </a:p>
      </xdr:txBody>
    </xdr:sp>
    <xdr:clientData/>
  </xdr:twoCellAnchor>
  <xdr:twoCellAnchor>
    <xdr:from xmlns:xdr="http://schemas.openxmlformats.org/drawingml/2006/spreadsheetDrawing">
      <xdr:col>17</xdr:col>
      <xdr:colOff>527050</xdr:colOff>
      <xdr:row>8</xdr:row>
      <xdr:rowOff>109855</xdr:rowOff>
    </xdr:from>
    <xdr:to xmlns:xdr="http://schemas.openxmlformats.org/drawingml/2006/spreadsheetDrawing">
      <xdr:col>18</xdr:col>
      <xdr:colOff>41275</xdr:colOff>
      <xdr:row>9</xdr:row>
      <xdr:rowOff>137795</xdr:rowOff>
    </xdr:to>
    <xdr:sp macro="" textlink="">
      <xdr:nvSpPr>
        <xdr:cNvPr id="17" name="AutoShape 11"/>
        <xdr:cNvSpPr>
          <a:spLocks noChangeArrowheads="1"/>
        </xdr:cNvSpPr>
      </xdr:nvSpPr>
      <xdr:spPr>
        <a:xfrm>
          <a:off x="11147425" y="1786255"/>
          <a:ext cx="323850" cy="227965"/>
        </a:xfrm>
        <a:prstGeom prst="wedgeRoundRectCallout">
          <a:avLst>
            <a:gd name="adj1" fmla="val -81032"/>
            <a:gd name="adj2" fmla="val 150000"/>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④</a:t>
          </a:r>
        </a:p>
      </xdr:txBody>
    </xdr:sp>
    <xdr:clientData/>
  </xdr:twoCellAnchor>
  <xdr:twoCellAnchor>
    <xdr:from xmlns:xdr="http://schemas.openxmlformats.org/drawingml/2006/spreadsheetDrawing">
      <xdr:col>1</xdr:col>
      <xdr:colOff>47625</xdr:colOff>
      <xdr:row>15</xdr:row>
      <xdr:rowOff>437515</xdr:rowOff>
    </xdr:from>
    <xdr:to xmlns:xdr="http://schemas.openxmlformats.org/drawingml/2006/spreadsheetDrawing">
      <xdr:col>1</xdr:col>
      <xdr:colOff>361950</xdr:colOff>
      <xdr:row>16</xdr:row>
      <xdr:rowOff>160655</xdr:rowOff>
    </xdr:to>
    <xdr:sp macro="" textlink="">
      <xdr:nvSpPr>
        <xdr:cNvPr id="18" name="AutoShape 12"/>
        <xdr:cNvSpPr>
          <a:spLocks noChangeArrowheads="1"/>
        </xdr:cNvSpPr>
      </xdr:nvSpPr>
      <xdr:spPr>
        <a:xfrm>
          <a:off x="171450" y="3514090"/>
          <a:ext cx="314325" cy="237490"/>
        </a:xfrm>
        <a:prstGeom prst="wedgeRoundRectCallout">
          <a:avLst>
            <a:gd name="adj1" fmla="val -16667"/>
            <a:gd name="adj2" fmla="val 294000"/>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⑤</a:t>
          </a:r>
        </a:p>
      </xdr:txBody>
    </xdr:sp>
    <xdr:clientData/>
  </xdr:twoCellAnchor>
  <xdr:twoCellAnchor>
    <xdr:from xmlns:xdr="http://schemas.openxmlformats.org/drawingml/2006/spreadsheetDrawing">
      <xdr:col>0</xdr:col>
      <xdr:colOff>114300</xdr:colOff>
      <xdr:row>29</xdr:row>
      <xdr:rowOff>161925</xdr:rowOff>
    </xdr:from>
    <xdr:to xmlns:xdr="http://schemas.openxmlformats.org/drawingml/2006/spreadsheetDrawing">
      <xdr:col>20</xdr:col>
      <xdr:colOff>66675</xdr:colOff>
      <xdr:row>62</xdr:row>
      <xdr:rowOff>46355</xdr:rowOff>
    </xdr:to>
    <xdr:grpSp>
      <xdr:nvGrpSpPr>
        <xdr:cNvPr id="19" name="グループ化 12"/>
        <xdr:cNvGrpSpPr/>
      </xdr:nvGrpSpPr>
      <xdr:grpSpPr>
        <a:xfrm>
          <a:off x="114300" y="7286625"/>
          <a:ext cx="14430375" cy="379730"/>
          <a:chOff x="4056529" y="8113059"/>
          <a:chExt cx="12187518" cy="397809"/>
        </a:xfrm>
      </xdr:grpSpPr>
      <xdr:sp macro="" textlink="">
        <xdr:nvSpPr>
          <xdr:cNvPr id="20" name="フリーフォーム 28"/>
          <xdr:cNvSpPr>
            <a:spLocks noChangeArrowheads="1"/>
          </xdr:cNvSpPr>
        </xdr:nvSpPr>
        <xdr:spPr>
          <a:xfrm>
            <a:off x="4056529" y="8113059"/>
            <a:ext cx="12187518" cy="303680"/>
          </a:xfrm>
          <a:custGeom>
            <a:avLst/>
            <a:gdLst>
              <a:gd name="T0" fmla="*/ 149198 w 12251972"/>
              <a:gd name="T1" fmla="*/ 60572 h 298098"/>
              <a:gd name="T2" fmla="*/ 317047 w 12251972"/>
              <a:gd name="T3" fmla="*/ 423999 h 298098"/>
              <a:gd name="T4" fmla="*/ 652744 w 12251972"/>
              <a:gd name="T5" fmla="*/ 423999 h 298098"/>
              <a:gd name="T6" fmla="*/ 988442 w 12251972"/>
              <a:gd name="T7" fmla="*/ 423999 h 298098"/>
              <a:gd name="T8" fmla="*/ 1286841 w 12251972"/>
              <a:gd name="T9" fmla="*/ 423999 h 298098"/>
              <a:gd name="T10" fmla="*/ 1575914 w 12251972"/>
              <a:gd name="T11" fmla="*/ 423999 h 298098"/>
              <a:gd name="T12" fmla="*/ 1837010 w 12251972"/>
              <a:gd name="T13" fmla="*/ 423999 h 298098"/>
              <a:gd name="T14" fmla="*/ 2144734 w 12251972"/>
              <a:gd name="T15" fmla="*/ 423999 h 298098"/>
              <a:gd name="T16" fmla="*/ 2424478 w 12251972"/>
              <a:gd name="T17" fmla="*/ 423999 h 298098"/>
              <a:gd name="T18" fmla="*/ 2694904 w 12251972"/>
              <a:gd name="T19" fmla="*/ 423999 h 298098"/>
              <a:gd name="T20" fmla="*/ 2965327 w 12251972"/>
              <a:gd name="T21" fmla="*/ 423999 h 298098"/>
              <a:gd name="T22" fmla="*/ 3226421 w 12251972"/>
              <a:gd name="T23" fmla="*/ 423999 h 298098"/>
              <a:gd name="T24" fmla="*/ 3496846 w 12251972"/>
              <a:gd name="T25" fmla="*/ 423999 h 298098"/>
              <a:gd name="T26" fmla="*/ 3795246 w 12251972"/>
              <a:gd name="T27" fmla="*/ 423999 h 298098"/>
              <a:gd name="T28" fmla="*/ 4074997 w 12251972"/>
              <a:gd name="T29" fmla="*/ 423999 h 298098"/>
              <a:gd name="T30" fmla="*/ 4354739 w 12251972"/>
              <a:gd name="T31" fmla="*/ 423999 h 298098"/>
              <a:gd name="T32" fmla="*/ 4634484 w 12251972"/>
              <a:gd name="T33" fmla="*/ 423999 h 298098"/>
              <a:gd name="T34" fmla="*/ 4886258 w 12251972"/>
              <a:gd name="T35" fmla="*/ 423999 h 298098"/>
              <a:gd name="T36" fmla="*/ 5156679 w 12251972"/>
              <a:gd name="T37" fmla="*/ 423999 h 298098"/>
              <a:gd name="T38" fmla="*/ 5408455 w 12251972"/>
              <a:gd name="T39" fmla="*/ 423999 h 298098"/>
              <a:gd name="T40" fmla="*/ 5660223 w 12251972"/>
              <a:gd name="T41" fmla="*/ 423999 h 298098"/>
              <a:gd name="T42" fmla="*/ 5939972 w 12251972"/>
              <a:gd name="T43" fmla="*/ 423999 h 298098"/>
              <a:gd name="T44" fmla="*/ 6201073 w 12251972"/>
              <a:gd name="T45" fmla="*/ 423999 h 298098"/>
              <a:gd name="T46" fmla="*/ 6499470 w 12251972"/>
              <a:gd name="T47" fmla="*/ 423999 h 298098"/>
              <a:gd name="T48" fmla="*/ 6779213 w 12251972"/>
              <a:gd name="T49" fmla="*/ 423999 h 298098"/>
              <a:gd name="T50" fmla="*/ 7040315 w 12251972"/>
              <a:gd name="T51" fmla="*/ 440517 h 298098"/>
              <a:gd name="T52" fmla="*/ 7320064 w 12251972"/>
              <a:gd name="T53" fmla="*/ 440517 h 298098"/>
              <a:gd name="T54" fmla="*/ 7590488 w 12251972"/>
              <a:gd name="T55" fmla="*/ 423999 h 298098"/>
              <a:gd name="T56" fmla="*/ 7898202 w 12251972"/>
              <a:gd name="T57" fmla="*/ 423999 h 298098"/>
              <a:gd name="T58" fmla="*/ 8196609 w 12251972"/>
              <a:gd name="T59" fmla="*/ 423999 h 298098"/>
              <a:gd name="T60" fmla="*/ 8504330 w 12251972"/>
              <a:gd name="T61" fmla="*/ 407477 h 298098"/>
              <a:gd name="T62" fmla="*/ 8802724 w 12251972"/>
              <a:gd name="T63" fmla="*/ 390956 h 298098"/>
              <a:gd name="T64" fmla="*/ 9203693 w 12251972"/>
              <a:gd name="T65" fmla="*/ 374440 h 298098"/>
              <a:gd name="T66" fmla="*/ 9595343 w 12251972"/>
              <a:gd name="T67" fmla="*/ 407477 h 298098"/>
              <a:gd name="T68" fmla="*/ 9837791 w 12251972"/>
              <a:gd name="T69" fmla="*/ 407477 h 298098"/>
              <a:gd name="T70" fmla="*/ 10266739 w 12251972"/>
              <a:gd name="T71" fmla="*/ 457037 h 298098"/>
              <a:gd name="T72" fmla="*/ 10621083 w 12251972"/>
              <a:gd name="T73" fmla="*/ 457037 h 298098"/>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12251972"/>
              <a:gd name="T112" fmla="*/ 0 h 298098"/>
              <a:gd name="T113" fmla="*/ 12251972 w 12251972"/>
              <a:gd name="T114" fmla="*/ 298098 h 298098"/>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12251972" h="298098">
                <a:moveTo>
                  <a:pt x="0" y="165806"/>
                </a:moveTo>
                <a:cubicBezTo>
                  <a:pt x="67909" y="112889"/>
                  <a:pt x="135819" y="59973"/>
                  <a:pt x="169333" y="38806"/>
                </a:cubicBezTo>
                <a:cubicBezTo>
                  <a:pt x="202847" y="17639"/>
                  <a:pt x="169333" y="0"/>
                  <a:pt x="201083" y="38806"/>
                </a:cubicBezTo>
                <a:cubicBezTo>
                  <a:pt x="232833" y="77612"/>
                  <a:pt x="303389" y="273404"/>
                  <a:pt x="359833" y="271640"/>
                </a:cubicBezTo>
                <a:cubicBezTo>
                  <a:pt x="416277" y="269876"/>
                  <a:pt x="476250" y="28223"/>
                  <a:pt x="539750" y="28223"/>
                </a:cubicBezTo>
                <a:cubicBezTo>
                  <a:pt x="603250" y="28223"/>
                  <a:pt x="675569" y="271640"/>
                  <a:pt x="740833" y="271640"/>
                </a:cubicBezTo>
                <a:cubicBezTo>
                  <a:pt x="806097" y="271640"/>
                  <a:pt x="867833" y="28223"/>
                  <a:pt x="931333" y="28223"/>
                </a:cubicBezTo>
                <a:cubicBezTo>
                  <a:pt x="994833" y="28223"/>
                  <a:pt x="1060097" y="271640"/>
                  <a:pt x="1121833" y="271640"/>
                </a:cubicBezTo>
                <a:cubicBezTo>
                  <a:pt x="1183569" y="271640"/>
                  <a:pt x="1245306" y="28223"/>
                  <a:pt x="1301750" y="28223"/>
                </a:cubicBezTo>
                <a:cubicBezTo>
                  <a:pt x="1358194" y="28223"/>
                  <a:pt x="1407583" y="271640"/>
                  <a:pt x="1460500" y="271640"/>
                </a:cubicBezTo>
                <a:cubicBezTo>
                  <a:pt x="1513417" y="271640"/>
                  <a:pt x="1564570" y="28223"/>
                  <a:pt x="1619250" y="28223"/>
                </a:cubicBezTo>
                <a:cubicBezTo>
                  <a:pt x="1673930" y="28223"/>
                  <a:pt x="1733903" y="271640"/>
                  <a:pt x="1788583" y="271640"/>
                </a:cubicBezTo>
                <a:cubicBezTo>
                  <a:pt x="1843263" y="271640"/>
                  <a:pt x="1897944" y="28223"/>
                  <a:pt x="1947333" y="28223"/>
                </a:cubicBezTo>
                <a:cubicBezTo>
                  <a:pt x="1996722" y="28223"/>
                  <a:pt x="2031999" y="271640"/>
                  <a:pt x="2084916" y="271640"/>
                </a:cubicBezTo>
                <a:cubicBezTo>
                  <a:pt x="2137833" y="271640"/>
                  <a:pt x="2206625" y="28223"/>
                  <a:pt x="2264833" y="28223"/>
                </a:cubicBezTo>
                <a:cubicBezTo>
                  <a:pt x="2323041" y="28223"/>
                  <a:pt x="2377722" y="271640"/>
                  <a:pt x="2434166" y="271640"/>
                </a:cubicBezTo>
                <a:cubicBezTo>
                  <a:pt x="2490610" y="271640"/>
                  <a:pt x="2550583" y="28223"/>
                  <a:pt x="2603500" y="28223"/>
                </a:cubicBezTo>
                <a:cubicBezTo>
                  <a:pt x="2656417" y="28223"/>
                  <a:pt x="2700513" y="271640"/>
                  <a:pt x="2751666" y="271640"/>
                </a:cubicBezTo>
                <a:cubicBezTo>
                  <a:pt x="2802819" y="271640"/>
                  <a:pt x="2859263" y="28223"/>
                  <a:pt x="2910416" y="28223"/>
                </a:cubicBezTo>
                <a:cubicBezTo>
                  <a:pt x="2961569" y="28223"/>
                  <a:pt x="3010958" y="271640"/>
                  <a:pt x="3058583" y="271640"/>
                </a:cubicBezTo>
                <a:cubicBezTo>
                  <a:pt x="3106208" y="271640"/>
                  <a:pt x="3145013" y="28223"/>
                  <a:pt x="3196166" y="28223"/>
                </a:cubicBezTo>
                <a:cubicBezTo>
                  <a:pt x="3247319" y="28223"/>
                  <a:pt x="3317875" y="271640"/>
                  <a:pt x="3365500" y="271640"/>
                </a:cubicBezTo>
                <a:cubicBezTo>
                  <a:pt x="3413125" y="271640"/>
                  <a:pt x="3432527" y="28223"/>
                  <a:pt x="3481916" y="28223"/>
                </a:cubicBezTo>
                <a:cubicBezTo>
                  <a:pt x="3531305" y="28223"/>
                  <a:pt x="3605389" y="271640"/>
                  <a:pt x="3661833" y="271640"/>
                </a:cubicBezTo>
                <a:cubicBezTo>
                  <a:pt x="3718277" y="271640"/>
                  <a:pt x="3769430" y="28223"/>
                  <a:pt x="3820583" y="28223"/>
                </a:cubicBezTo>
                <a:cubicBezTo>
                  <a:pt x="3871736" y="28223"/>
                  <a:pt x="3915833" y="271640"/>
                  <a:pt x="3968750" y="271640"/>
                </a:cubicBezTo>
                <a:cubicBezTo>
                  <a:pt x="4021667" y="271640"/>
                  <a:pt x="4081639" y="28223"/>
                  <a:pt x="4138083" y="28223"/>
                </a:cubicBezTo>
                <a:cubicBezTo>
                  <a:pt x="4194527" y="28223"/>
                  <a:pt x="4252736" y="271640"/>
                  <a:pt x="4307416" y="271640"/>
                </a:cubicBezTo>
                <a:cubicBezTo>
                  <a:pt x="4362096" y="271640"/>
                  <a:pt x="4413249" y="28223"/>
                  <a:pt x="4466166" y="28223"/>
                </a:cubicBezTo>
                <a:cubicBezTo>
                  <a:pt x="4519083" y="28223"/>
                  <a:pt x="4571999" y="271640"/>
                  <a:pt x="4624916" y="271640"/>
                </a:cubicBezTo>
                <a:cubicBezTo>
                  <a:pt x="4677833" y="271640"/>
                  <a:pt x="4730749" y="28223"/>
                  <a:pt x="4783666" y="28223"/>
                </a:cubicBezTo>
                <a:cubicBezTo>
                  <a:pt x="4836583" y="28223"/>
                  <a:pt x="4889499" y="271640"/>
                  <a:pt x="4942416" y="271640"/>
                </a:cubicBezTo>
                <a:cubicBezTo>
                  <a:pt x="4995333" y="271640"/>
                  <a:pt x="5048249" y="28223"/>
                  <a:pt x="5101166" y="28223"/>
                </a:cubicBezTo>
                <a:cubicBezTo>
                  <a:pt x="5154083" y="28223"/>
                  <a:pt x="5210527" y="271640"/>
                  <a:pt x="5259916" y="271640"/>
                </a:cubicBezTo>
                <a:cubicBezTo>
                  <a:pt x="5309305" y="271640"/>
                  <a:pt x="5349875" y="28223"/>
                  <a:pt x="5397500" y="28223"/>
                </a:cubicBezTo>
                <a:cubicBezTo>
                  <a:pt x="5445125" y="28223"/>
                  <a:pt x="5492749" y="271640"/>
                  <a:pt x="5545666" y="271640"/>
                </a:cubicBezTo>
                <a:cubicBezTo>
                  <a:pt x="5598583" y="271640"/>
                  <a:pt x="5663847" y="28223"/>
                  <a:pt x="5715000" y="28223"/>
                </a:cubicBezTo>
                <a:cubicBezTo>
                  <a:pt x="5766153" y="28223"/>
                  <a:pt x="5810250" y="269876"/>
                  <a:pt x="5852583" y="271640"/>
                </a:cubicBezTo>
                <a:cubicBezTo>
                  <a:pt x="5894916" y="273404"/>
                  <a:pt x="5921375" y="38806"/>
                  <a:pt x="5969000" y="38806"/>
                </a:cubicBezTo>
                <a:cubicBezTo>
                  <a:pt x="6016625" y="38806"/>
                  <a:pt x="6087180" y="273404"/>
                  <a:pt x="6138333" y="271640"/>
                </a:cubicBezTo>
                <a:cubicBezTo>
                  <a:pt x="6189486" y="269876"/>
                  <a:pt x="6228291" y="28223"/>
                  <a:pt x="6275916" y="28223"/>
                </a:cubicBezTo>
                <a:cubicBezTo>
                  <a:pt x="6323541" y="28223"/>
                  <a:pt x="6372930" y="271640"/>
                  <a:pt x="6424083" y="271640"/>
                </a:cubicBezTo>
                <a:cubicBezTo>
                  <a:pt x="6475236" y="271640"/>
                  <a:pt x="6529916" y="28223"/>
                  <a:pt x="6582833" y="28223"/>
                </a:cubicBezTo>
                <a:cubicBezTo>
                  <a:pt x="6635750" y="28223"/>
                  <a:pt x="6693958" y="269876"/>
                  <a:pt x="6741583" y="271640"/>
                </a:cubicBezTo>
                <a:cubicBezTo>
                  <a:pt x="6789208" y="273404"/>
                  <a:pt x="6819194" y="38806"/>
                  <a:pt x="6868583" y="38806"/>
                </a:cubicBezTo>
                <a:cubicBezTo>
                  <a:pt x="6917972" y="38806"/>
                  <a:pt x="6983236" y="273404"/>
                  <a:pt x="7037916" y="271640"/>
                </a:cubicBezTo>
                <a:cubicBezTo>
                  <a:pt x="7092596" y="269876"/>
                  <a:pt x="7140222" y="28223"/>
                  <a:pt x="7196666" y="28223"/>
                </a:cubicBezTo>
                <a:cubicBezTo>
                  <a:pt x="7253110" y="28223"/>
                  <a:pt x="7323666" y="271640"/>
                  <a:pt x="7376583" y="271640"/>
                </a:cubicBezTo>
                <a:cubicBezTo>
                  <a:pt x="7429500" y="271640"/>
                  <a:pt x="7461249" y="28223"/>
                  <a:pt x="7514166" y="28223"/>
                </a:cubicBezTo>
                <a:cubicBezTo>
                  <a:pt x="7567083" y="28223"/>
                  <a:pt x="7639402" y="271640"/>
                  <a:pt x="7694083" y="271640"/>
                </a:cubicBezTo>
                <a:cubicBezTo>
                  <a:pt x="7748764" y="271640"/>
                  <a:pt x="7792861" y="26459"/>
                  <a:pt x="7842250" y="28223"/>
                </a:cubicBezTo>
                <a:cubicBezTo>
                  <a:pt x="7891639" y="29987"/>
                  <a:pt x="7939263" y="283987"/>
                  <a:pt x="7990416" y="282223"/>
                </a:cubicBezTo>
                <a:cubicBezTo>
                  <a:pt x="8041569" y="280459"/>
                  <a:pt x="8096249" y="17640"/>
                  <a:pt x="8149166" y="17640"/>
                </a:cubicBezTo>
                <a:cubicBezTo>
                  <a:pt x="8202083" y="17640"/>
                  <a:pt x="8254999" y="278695"/>
                  <a:pt x="8307916" y="282223"/>
                </a:cubicBezTo>
                <a:cubicBezTo>
                  <a:pt x="8360833" y="285751"/>
                  <a:pt x="8415513" y="40570"/>
                  <a:pt x="8466666" y="38806"/>
                </a:cubicBezTo>
                <a:cubicBezTo>
                  <a:pt x="8517819" y="37042"/>
                  <a:pt x="8560152" y="273404"/>
                  <a:pt x="8614833" y="271640"/>
                </a:cubicBezTo>
                <a:cubicBezTo>
                  <a:pt x="8669514" y="269876"/>
                  <a:pt x="8736542" y="28223"/>
                  <a:pt x="8794750" y="28223"/>
                </a:cubicBezTo>
                <a:cubicBezTo>
                  <a:pt x="8852958" y="28223"/>
                  <a:pt x="8907639" y="273404"/>
                  <a:pt x="8964083" y="271640"/>
                </a:cubicBezTo>
                <a:cubicBezTo>
                  <a:pt x="9020527" y="269876"/>
                  <a:pt x="9076972" y="17640"/>
                  <a:pt x="9133416" y="17640"/>
                </a:cubicBezTo>
                <a:cubicBezTo>
                  <a:pt x="9189860" y="17640"/>
                  <a:pt x="9246306" y="268112"/>
                  <a:pt x="9302750" y="271640"/>
                </a:cubicBezTo>
                <a:cubicBezTo>
                  <a:pt x="9359194" y="275168"/>
                  <a:pt x="9413875" y="40570"/>
                  <a:pt x="9472083" y="38806"/>
                </a:cubicBezTo>
                <a:cubicBezTo>
                  <a:pt x="9530291" y="37042"/>
                  <a:pt x="9597320" y="262820"/>
                  <a:pt x="9652000" y="261056"/>
                </a:cubicBezTo>
                <a:cubicBezTo>
                  <a:pt x="9706680" y="259292"/>
                  <a:pt x="9743722" y="29987"/>
                  <a:pt x="9800166" y="28223"/>
                </a:cubicBezTo>
                <a:cubicBezTo>
                  <a:pt x="9856610" y="26459"/>
                  <a:pt x="9930694" y="250473"/>
                  <a:pt x="9990666" y="250473"/>
                </a:cubicBezTo>
                <a:cubicBezTo>
                  <a:pt x="10050638" y="250473"/>
                  <a:pt x="10084153" y="29987"/>
                  <a:pt x="10160000" y="28223"/>
                </a:cubicBezTo>
                <a:cubicBezTo>
                  <a:pt x="10235847" y="26459"/>
                  <a:pt x="10376958" y="241654"/>
                  <a:pt x="10445750" y="239890"/>
                </a:cubicBezTo>
                <a:cubicBezTo>
                  <a:pt x="10514542" y="238126"/>
                  <a:pt x="10498667" y="14112"/>
                  <a:pt x="10572750" y="17640"/>
                </a:cubicBezTo>
                <a:cubicBezTo>
                  <a:pt x="10646833" y="21168"/>
                  <a:pt x="10821458" y="259292"/>
                  <a:pt x="10890250" y="261056"/>
                </a:cubicBezTo>
                <a:cubicBezTo>
                  <a:pt x="10959042" y="262820"/>
                  <a:pt x="10939639" y="28223"/>
                  <a:pt x="10985500" y="28223"/>
                </a:cubicBezTo>
                <a:cubicBezTo>
                  <a:pt x="11031361" y="28223"/>
                  <a:pt x="11089569" y="261056"/>
                  <a:pt x="11165416" y="261056"/>
                </a:cubicBezTo>
                <a:cubicBezTo>
                  <a:pt x="11241263" y="261056"/>
                  <a:pt x="11359444" y="22931"/>
                  <a:pt x="11440583" y="28223"/>
                </a:cubicBezTo>
                <a:cubicBezTo>
                  <a:pt x="11521722" y="33515"/>
                  <a:pt x="11586986" y="294570"/>
                  <a:pt x="11652250" y="292806"/>
                </a:cubicBezTo>
                <a:cubicBezTo>
                  <a:pt x="11717514" y="291042"/>
                  <a:pt x="11765138" y="17640"/>
                  <a:pt x="11832166" y="17640"/>
                </a:cubicBezTo>
                <a:cubicBezTo>
                  <a:pt x="11899194" y="17640"/>
                  <a:pt x="11989152" y="287514"/>
                  <a:pt x="12054416" y="292806"/>
                </a:cubicBezTo>
                <a:cubicBezTo>
                  <a:pt x="12119680" y="298098"/>
                  <a:pt x="12251972" y="37043"/>
                  <a:pt x="12223750" y="49390"/>
                </a:cubicBezTo>
              </a:path>
            </a:pathLst>
          </a:custGeom>
          <a:noFill/>
          <a:ln w="9525" algn="ctr">
            <a:solidFill>
              <a:srgbClr val="000000"/>
            </a:solidFill>
            <a:round/>
            <a:headEnd/>
            <a:tailEnd/>
          </a:ln>
        </xdr:spPr>
      </xdr:sp>
      <xdr:sp macro="" textlink="">
        <xdr:nvSpPr>
          <xdr:cNvPr id="21" name="フリーフォーム 29"/>
          <xdr:cNvSpPr>
            <a:spLocks noChangeArrowheads="1"/>
          </xdr:cNvSpPr>
        </xdr:nvSpPr>
        <xdr:spPr>
          <a:xfrm>
            <a:off x="4056529" y="8207189"/>
            <a:ext cx="12187518" cy="303679"/>
          </a:xfrm>
          <a:custGeom>
            <a:avLst/>
            <a:gdLst>
              <a:gd name="T0" fmla="*/ 149198 w 12251972"/>
              <a:gd name="T1" fmla="*/ 60571 h 298098"/>
              <a:gd name="T2" fmla="*/ 317047 w 12251972"/>
              <a:gd name="T3" fmla="*/ 423968 h 298098"/>
              <a:gd name="T4" fmla="*/ 652744 w 12251972"/>
              <a:gd name="T5" fmla="*/ 423968 h 298098"/>
              <a:gd name="T6" fmla="*/ 988442 w 12251972"/>
              <a:gd name="T7" fmla="*/ 423968 h 298098"/>
              <a:gd name="T8" fmla="*/ 1286841 w 12251972"/>
              <a:gd name="T9" fmla="*/ 423968 h 298098"/>
              <a:gd name="T10" fmla="*/ 1575914 w 12251972"/>
              <a:gd name="T11" fmla="*/ 423968 h 298098"/>
              <a:gd name="T12" fmla="*/ 1837010 w 12251972"/>
              <a:gd name="T13" fmla="*/ 423968 h 298098"/>
              <a:gd name="T14" fmla="*/ 2144734 w 12251972"/>
              <a:gd name="T15" fmla="*/ 423968 h 298098"/>
              <a:gd name="T16" fmla="*/ 2424478 w 12251972"/>
              <a:gd name="T17" fmla="*/ 423968 h 298098"/>
              <a:gd name="T18" fmla="*/ 2694904 w 12251972"/>
              <a:gd name="T19" fmla="*/ 423968 h 298098"/>
              <a:gd name="T20" fmla="*/ 2965327 w 12251972"/>
              <a:gd name="T21" fmla="*/ 423968 h 298098"/>
              <a:gd name="T22" fmla="*/ 3226421 w 12251972"/>
              <a:gd name="T23" fmla="*/ 423968 h 298098"/>
              <a:gd name="T24" fmla="*/ 3496846 w 12251972"/>
              <a:gd name="T25" fmla="*/ 423968 h 298098"/>
              <a:gd name="T26" fmla="*/ 3795246 w 12251972"/>
              <a:gd name="T27" fmla="*/ 423968 h 298098"/>
              <a:gd name="T28" fmla="*/ 4074997 w 12251972"/>
              <a:gd name="T29" fmla="*/ 423968 h 298098"/>
              <a:gd name="T30" fmla="*/ 4354739 w 12251972"/>
              <a:gd name="T31" fmla="*/ 423968 h 298098"/>
              <a:gd name="T32" fmla="*/ 4634484 w 12251972"/>
              <a:gd name="T33" fmla="*/ 423968 h 298098"/>
              <a:gd name="T34" fmla="*/ 4886258 w 12251972"/>
              <a:gd name="T35" fmla="*/ 423968 h 298098"/>
              <a:gd name="T36" fmla="*/ 5156679 w 12251972"/>
              <a:gd name="T37" fmla="*/ 423968 h 298098"/>
              <a:gd name="T38" fmla="*/ 5408455 w 12251972"/>
              <a:gd name="T39" fmla="*/ 423968 h 298098"/>
              <a:gd name="T40" fmla="*/ 5660223 w 12251972"/>
              <a:gd name="T41" fmla="*/ 423968 h 298098"/>
              <a:gd name="T42" fmla="*/ 5939972 w 12251972"/>
              <a:gd name="T43" fmla="*/ 423968 h 298098"/>
              <a:gd name="T44" fmla="*/ 6201073 w 12251972"/>
              <a:gd name="T45" fmla="*/ 423968 h 298098"/>
              <a:gd name="T46" fmla="*/ 6499470 w 12251972"/>
              <a:gd name="T47" fmla="*/ 423968 h 298098"/>
              <a:gd name="T48" fmla="*/ 6779213 w 12251972"/>
              <a:gd name="T49" fmla="*/ 423968 h 298098"/>
              <a:gd name="T50" fmla="*/ 7040315 w 12251972"/>
              <a:gd name="T51" fmla="*/ 440483 h 298098"/>
              <a:gd name="T52" fmla="*/ 7320064 w 12251972"/>
              <a:gd name="T53" fmla="*/ 440483 h 298098"/>
              <a:gd name="T54" fmla="*/ 7590488 w 12251972"/>
              <a:gd name="T55" fmla="*/ 423968 h 298098"/>
              <a:gd name="T56" fmla="*/ 7898202 w 12251972"/>
              <a:gd name="T57" fmla="*/ 423968 h 298098"/>
              <a:gd name="T58" fmla="*/ 8196609 w 12251972"/>
              <a:gd name="T59" fmla="*/ 423968 h 298098"/>
              <a:gd name="T60" fmla="*/ 8504330 w 12251972"/>
              <a:gd name="T61" fmla="*/ 407444 h 298098"/>
              <a:gd name="T62" fmla="*/ 8802724 w 12251972"/>
              <a:gd name="T63" fmla="*/ 390931 h 298098"/>
              <a:gd name="T64" fmla="*/ 9203693 w 12251972"/>
              <a:gd name="T65" fmla="*/ 374410 h 298098"/>
              <a:gd name="T66" fmla="*/ 9595343 w 12251972"/>
              <a:gd name="T67" fmla="*/ 407444 h 298098"/>
              <a:gd name="T68" fmla="*/ 9837791 w 12251972"/>
              <a:gd name="T69" fmla="*/ 407444 h 298098"/>
              <a:gd name="T70" fmla="*/ 10266739 w 12251972"/>
              <a:gd name="T71" fmla="*/ 457002 h 298098"/>
              <a:gd name="T72" fmla="*/ 10621083 w 12251972"/>
              <a:gd name="T73" fmla="*/ 457002 h 298098"/>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12251972"/>
              <a:gd name="T112" fmla="*/ 0 h 298098"/>
              <a:gd name="T113" fmla="*/ 12251972 w 12251972"/>
              <a:gd name="T114" fmla="*/ 298098 h 298098"/>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12251972" h="298098">
                <a:moveTo>
                  <a:pt x="0" y="165806"/>
                </a:moveTo>
                <a:cubicBezTo>
                  <a:pt x="67909" y="112889"/>
                  <a:pt x="135819" y="59973"/>
                  <a:pt x="169333" y="38806"/>
                </a:cubicBezTo>
                <a:cubicBezTo>
                  <a:pt x="202847" y="17639"/>
                  <a:pt x="169333" y="0"/>
                  <a:pt x="201083" y="38806"/>
                </a:cubicBezTo>
                <a:cubicBezTo>
                  <a:pt x="232833" y="77612"/>
                  <a:pt x="303389" y="273404"/>
                  <a:pt x="359833" y="271640"/>
                </a:cubicBezTo>
                <a:cubicBezTo>
                  <a:pt x="416277" y="269876"/>
                  <a:pt x="476250" y="28223"/>
                  <a:pt x="539750" y="28223"/>
                </a:cubicBezTo>
                <a:cubicBezTo>
                  <a:pt x="603250" y="28223"/>
                  <a:pt x="675569" y="271640"/>
                  <a:pt x="740833" y="271640"/>
                </a:cubicBezTo>
                <a:cubicBezTo>
                  <a:pt x="806097" y="271640"/>
                  <a:pt x="867833" y="28223"/>
                  <a:pt x="931333" y="28223"/>
                </a:cubicBezTo>
                <a:cubicBezTo>
                  <a:pt x="994833" y="28223"/>
                  <a:pt x="1060097" y="271640"/>
                  <a:pt x="1121833" y="271640"/>
                </a:cubicBezTo>
                <a:cubicBezTo>
                  <a:pt x="1183569" y="271640"/>
                  <a:pt x="1245306" y="28223"/>
                  <a:pt x="1301750" y="28223"/>
                </a:cubicBezTo>
                <a:cubicBezTo>
                  <a:pt x="1358194" y="28223"/>
                  <a:pt x="1407583" y="271640"/>
                  <a:pt x="1460500" y="271640"/>
                </a:cubicBezTo>
                <a:cubicBezTo>
                  <a:pt x="1513417" y="271640"/>
                  <a:pt x="1564570" y="28223"/>
                  <a:pt x="1619250" y="28223"/>
                </a:cubicBezTo>
                <a:cubicBezTo>
                  <a:pt x="1673930" y="28223"/>
                  <a:pt x="1733903" y="271640"/>
                  <a:pt x="1788583" y="271640"/>
                </a:cubicBezTo>
                <a:cubicBezTo>
                  <a:pt x="1843263" y="271640"/>
                  <a:pt x="1897944" y="28223"/>
                  <a:pt x="1947333" y="28223"/>
                </a:cubicBezTo>
                <a:cubicBezTo>
                  <a:pt x="1996722" y="28223"/>
                  <a:pt x="2031999" y="271640"/>
                  <a:pt x="2084916" y="271640"/>
                </a:cubicBezTo>
                <a:cubicBezTo>
                  <a:pt x="2137833" y="271640"/>
                  <a:pt x="2206625" y="28223"/>
                  <a:pt x="2264833" y="28223"/>
                </a:cubicBezTo>
                <a:cubicBezTo>
                  <a:pt x="2323041" y="28223"/>
                  <a:pt x="2377722" y="271640"/>
                  <a:pt x="2434166" y="271640"/>
                </a:cubicBezTo>
                <a:cubicBezTo>
                  <a:pt x="2490610" y="271640"/>
                  <a:pt x="2550583" y="28223"/>
                  <a:pt x="2603500" y="28223"/>
                </a:cubicBezTo>
                <a:cubicBezTo>
                  <a:pt x="2656417" y="28223"/>
                  <a:pt x="2700513" y="271640"/>
                  <a:pt x="2751666" y="271640"/>
                </a:cubicBezTo>
                <a:cubicBezTo>
                  <a:pt x="2802819" y="271640"/>
                  <a:pt x="2859263" y="28223"/>
                  <a:pt x="2910416" y="28223"/>
                </a:cubicBezTo>
                <a:cubicBezTo>
                  <a:pt x="2961569" y="28223"/>
                  <a:pt x="3010958" y="271640"/>
                  <a:pt x="3058583" y="271640"/>
                </a:cubicBezTo>
                <a:cubicBezTo>
                  <a:pt x="3106208" y="271640"/>
                  <a:pt x="3145013" y="28223"/>
                  <a:pt x="3196166" y="28223"/>
                </a:cubicBezTo>
                <a:cubicBezTo>
                  <a:pt x="3247319" y="28223"/>
                  <a:pt x="3317875" y="271640"/>
                  <a:pt x="3365500" y="271640"/>
                </a:cubicBezTo>
                <a:cubicBezTo>
                  <a:pt x="3413125" y="271640"/>
                  <a:pt x="3432527" y="28223"/>
                  <a:pt x="3481916" y="28223"/>
                </a:cubicBezTo>
                <a:cubicBezTo>
                  <a:pt x="3531305" y="28223"/>
                  <a:pt x="3605389" y="271640"/>
                  <a:pt x="3661833" y="271640"/>
                </a:cubicBezTo>
                <a:cubicBezTo>
                  <a:pt x="3718277" y="271640"/>
                  <a:pt x="3769430" y="28223"/>
                  <a:pt x="3820583" y="28223"/>
                </a:cubicBezTo>
                <a:cubicBezTo>
                  <a:pt x="3871736" y="28223"/>
                  <a:pt x="3915833" y="271640"/>
                  <a:pt x="3968750" y="271640"/>
                </a:cubicBezTo>
                <a:cubicBezTo>
                  <a:pt x="4021667" y="271640"/>
                  <a:pt x="4081639" y="28223"/>
                  <a:pt x="4138083" y="28223"/>
                </a:cubicBezTo>
                <a:cubicBezTo>
                  <a:pt x="4194527" y="28223"/>
                  <a:pt x="4252736" y="271640"/>
                  <a:pt x="4307416" y="271640"/>
                </a:cubicBezTo>
                <a:cubicBezTo>
                  <a:pt x="4362096" y="271640"/>
                  <a:pt x="4413249" y="28223"/>
                  <a:pt x="4466166" y="28223"/>
                </a:cubicBezTo>
                <a:cubicBezTo>
                  <a:pt x="4519083" y="28223"/>
                  <a:pt x="4571999" y="271640"/>
                  <a:pt x="4624916" y="271640"/>
                </a:cubicBezTo>
                <a:cubicBezTo>
                  <a:pt x="4677833" y="271640"/>
                  <a:pt x="4730749" y="28223"/>
                  <a:pt x="4783666" y="28223"/>
                </a:cubicBezTo>
                <a:cubicBezTo>
                  <a:pt x="4836583" y="28223"/>
                  <a:pt x="4889499" y="271640"/>
                  <a:pt x="4942416" y="271640"/>
                </a:cubicBezTo>
                <a:cubicBezTo>
                  <a:pt x="4995333" y="271640"/>
                  <a:pt x="5048249" y="28223"/>
                  <a:pt x="5101166" y="28223"/>
                </a:cubicBezTo>
                <a:cubicBezTo>
                  <a:pt x="5154083" y="28223"/>
                  <a:pt x="5210527" y="271640"/>
                  <a:pt x="5259916" y="271640"/>
                </a:cubicBezTo>
                <a:cubicBezTo>
                  <a:pt x="5309305" y="271640"/>
                  <a:pt x="5349875" y="28223"/>
                  <a:pt x="5397500" y="28223"/>
                </a:cubicBezTo>
                <a:cubicBezTo>
                  <a:pt x="5445125" y="28223"/>
                  <a:pt x="5492749" y="271640"/>
                  <a:pt x="5545666" y="271640"/>
                </a:cubicBezTo>
                <a:cubicBezTo>
                  <a:pt x="5598583" y="271640"/>
                  <a:pt x="5663847" y="28223"/>
                  <a:pt x="5715000" y="28223"/>
                </a:cubicBezTo>
                <a:cubicBezTo>
                  <a:pt x="5766153" y="28223"/>
                  <a:pt x="5810250" y="269876"/>
                  <a:pt x="5852583" y="271640"/>
                </a:cubicBezTo>
                <a:cubicBezTo>
                  <a:pt x="5894916" y="273404"/>
                  <a:pt x="5921375" y="38806"/>
                  <a:pt x="5969000" y="38806"/>
                </a:cubicBezTo>
                <a:cubicBezTo>
                  <a:pt x="6016625" y="38806"/>
                  <a:pt x="6087180" y="273404"/>
                  <a:pt x="6138333" y="271640"/>
                </a:cubicBezTo>
                <a:cubicBezTo>
                  <a:pt x="6189486" y="269876"/>
                  <a:pt x="6228291" y="28223"/>
                  <a:pt x="6275916" y="28223"/>
                </a:cubicBezTo>
                <a:cubicBezTo>
                  <a:pt x="6323541" y="28223"/>
                  <a:pt x="6372930" y="271640"/>
                  <a:pt x="6424083" y="271640"/>
                </a:cubicBezTo>
                <a:cubicBezTo>
                  <a:pt x="6475236" y="271640"/>
                  <a:pt x="6529916" y="28223"/>
                  <a:pt x="6582833" y="28223"/>
                </a:cubicBezTo>
                <a:cubicBezTo>
                  <a:pt x="6635750" y="28223"/>
                  <a:pt x="6693958" y="269876"/>
                  <a:pt x="6741583" y="271640"/>
                </a:cubicBezTo>
                <a:cubicBezTo>
                  <a:pt x="6789208" y="273404"/>
                  <a:pt x="6819194" y="38806"/>
                  <a:pt x="6868583" y="38806"/>
                </a:cubicBezTo>
                <a:cubicBezTo>
                  <a:pt x="6917972" y="38806"/>
                  <a:pt x="6983236" y="273404"/>
                  <a:pt x="7037916" y="271640"/>
                </a:cubicBezTo>
                <a:cubicBezTo>
                  <a:pt x="7092596" y="269876"/>
                  <a:pt x="7140222" y="28223"/>
                  <a:pt x="7196666" y="28223"/>
                </a:cubicBezTo>
                <a:cubicBezTo>
                  <a:pt x="7253110" y="28223"/>
                  <a:pt x="7323666" y="271640"/>
                  <a:pt x="7376583" y="271640"/>
                </a:cubicBezTo>
                <a:cubicBezTo>
                  <a:pt x="7429500" y="271640"/>
                  <a:pt x="7461249" y="28223"/>
                  <a:pt x="7514166" y="28223"/>
                </a:cubicBezTo>
                <a:cubicBezTo>
                  <a:pt x="7567083" y="28223"/>
                  <a:pt x="7639402" y="271640"/>
                  <a:pt x="7694083" y="271640"/>
                </a:cubicBezTo>
                <a:cubicBezTo>
                  <a:pt x="7748764" y="271640"/>
                  <a:pt x="7792861" y="26459"/>
                  <a:pt x="7842250" y="28223"/>
                </a:cubicBezTo>
                <a:cubicBezTo>
                  <a:pt x="7891639" y="29987"/>
                  <a:pt x="7939263" y="283987"/>
                  <a:pt x="7990416" y="282223"/>
                </a:cubicBezTo>
                <a:cubicBezTo>
                  <a:pt x="8041569" y="280459"/>
                  <a:pt x="8096249" y="17640"/>
                  <a:pt x="8149166" y="17640"/>
                </a:cubicBezTo>
                <a:cubicBezTo>
                  <a:pt x="8202083" y="17640"/>
                  <a:pt x="8254999" y="278695"/>
                  <a:pt x="8307916" y="282223"/>
                </a:cubicBezTo>
                <a:cubicBezTo>
                  <a:pt x="8360833" y="285751"/>
                  <a:pt x="8415513" y="40570"/>
                  <a:pt x="8466666" y="38806"/>
                </a:cubicBezTo>
                <a:cubicBezTo>
                  <a:pt x="8517819" y="37042"/>
                  <a:pt x="8560152" y="273404"/>
                  <a:pt x="8614833" y="271640"/>
                </a:cubicBezTo>
                <a:cubicBezTo>
                  <a:pt x="8669514" y="269876"/>
                  <a:pt x="8736542" y="28223"/>
                  <a:pt x="8794750" y="28223"/>
                </a:cubicBezTo>
                <a:cubicBezTo>
                  <a:pt x="8852958" y="28223"/>
                  <a:pt x="8907639" y="273404"/>
                  <a:pt x="8964083" y="271640"/>
                </a:cubicBezTo>
                <a:cubicBezTo>
                  <a:pt x="9020527" y="269876"/>
                  <a:pt x="9076972" y="17640"/>
                  <a:pt x="9133416" y="17640"/>
                </a:cubicBezTo>
                <a:cubicBezTo>
                  <a:pt x="9189860" y="17640"/>
                  <a:pt x="9246306" y="268112"/>
                  <a:pt x="9302750" y="271640"/>
                </a:cubicBezTo>
                <a:cubicBezTo>
                  <a:pt x="9359194" y="275168"/>
                  <a:pt x="9413875" y="40570"/>
                  <a:pt x="9472083" y="38806"/>
                </a:cubicBezTo>
                <a:cubicBezTo>
                  <a:pt x="9530291" y="37042"/>
                  <a:pt x="9597320" y="262820"/>
                  <a:pt x="9652000" y="261056"/>
                </a:cubicBezTo>
                <a:cubicBezTo>
                  <a:pt x="9706680" y="259292"/>
                  <a:pt x="9743722" y="29987"/>
                  <a:pt x="9800166" y="28223"/>
                </a:cubicBezTo>
                <a:cubicBezTo>
                  <a:pt x="9856610" y="26459"/>
                  <a:pt x="9930694" y="250473"/>
                  <a:pt x="9990666" y="250473"/>
                </a:cubicBezTo>
                <a:cubicBezTo>
                  <a:pt x="10050638" y="250473"/>
                  <a:pt x="10084153" y="29987"/>
                  <a:pt x="10160000" y="28223"/>
                </a:cubicBezTo>
                <a:cubicBezTo>
                  <a:pt x="10235847" y="26459"/>
                  <a:pt x="10376958" y="241654"/>
                  <a:pt x="10445750" y="239890"/>
                </a:cubicBezTo>
                <a:cubicBezTo>
                  <a:pt x="10514542" y="238126"/>
                  <a:pt x="10498667" y="14112"/>
                  <a:pt x="10572750" y="17640"/>
                </a:cubicBezTo>
                <a:cubicBezTo>
                  <a:pt x="10646833" y="21168"/>
                  <a:pt x="10821458" y="259292"/>
                  <a:pt x="10890250" y="261056"/>
                </a:cubicBezTo>
                <a:cubicBezTo>
                  <a:pt x="10959042" y="262820"/>
                  <a:pt x="10939639" y="28223"/>
                  <a:pt x="10985500" y="28223"/>
                </a:cubicBezTo>
                <a:cubicBezTo>
                  <a:pt x="11031361" y="28223"/>
                  <a:pt x="11089569" y="261056"/>
                  <a:pt x="11165416" y="261056"/>
                </a:cubicBezTo>
                <a:cubicBezTo>
                  <a:pt x="11241263" y="261056"/>
                  <a:pt x="11359444" y="22931"/>
                  <a:pt x="11440583" y="28223"/>
                </a:cubicBezTo>
                <a:cubicBezTo>
                  <a:pt x="11521722" y="33515"/>
                  <a:pt x="11586986" y="294570"/>
                  <a:pt x="11652250" y="292806"/>
                </a:cubicBezTo>
                <a:cubicBezTo>
                  <a:pt x="11717514" y="291042"/>
                  <a:pt x="11765138" y="17640"/>
                  <a:pt x="11832166" y="17640"/>
                </a:cubicBezTo>
                <a:cubicBezTo>
                  <a:pt x="11899194" y="17640"/>
                  <a:pt x="11989152" y="287514"/>
                  <a:pt x="12054416" y="292806"/>
                </a:cubicBezTo>
                <a:cubicBezTo>
                  <a:pt x="12119680" y="298098"/>
                  <a:pt x="12251972" y="37043"/>
                  <a:pt x="12223750" y="49390"/>
                </a:cubicBezTo>
              </a:path>
            </a:pathLst>
          </a:custGeom>
          <a:noFill/>
          <a:ln w="9525" algn="ctr">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14</xdr:col>
      <xdr:colOff>87630</xdr:colOff>
      <xdr:row>0</xdr:row>
      <xdr:rowOff>56515</xdr:rowOff>
    </xdr:from>
    <xdr:to xmlns:xdr="http://schemas.openxmlformats.org/drawingml/2006/spreadsheetDrawing">
      <xdr:col>19</xdr:col>
      <xdr:colOff>223520</xdr:colOff>
      <xdr:row>4</xdr:row>
      <xdr:rowOff>339725</xdr:rowOff>
    </xdr:to>
    <xdr:sp macro="" textlink="">
      <xdr:nvSpPr>
        <xdr:cNvPr id="2" name="テキスト ボックス 1"/>
        <xdr:cNvSpPr txBox="1"/>
      </xdr:nvSpPr>
      <xdr:spPr>
        <a:xfrm>
          <a:off x="12012930" y="56515"/>
          <a:ext cx="3031490" cy="1274445"/>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ＭＳ 明朝"/>
              <a:ea typeface="ＭＳ 明朝"/>
            </a:rPr>
            <a:t>★「報告区分」の欄について★</a:t>
          </a:r>
          <a:endParaRPr kumimoji="1" lang="en-US" altLang="ja-JP" sz="1100" b="1">
            <a:latin typeface="ＭＳ 明朝"/>
            <a:ea typeface="ＭＳ 明朝"/>
          </a:endParaRPr>
        </a:p>
        <a:p>
          <a:r>
            <a:rPr kumimoji="1" lang="ja-JP" altLang="en-US" sz="1100" b="1">
              <a:latin typeface="ＭＳ 明朝"/>
              <a:ea typeface="ＭＳ 明朝"/>
            </a:rPr>
            <a:t>・</a:t>
          </a:r>
          <a:r>
            <a:rPr kumimoji="1" lang="en-US" altLang="ja-JP" sz="1100" b="1">
              <a:latin typeface="ＭＳ 明朝"/>
              <a:ea typeface="ＭＳ 明朝"/>
            </a:rPr>
            <a:t>1</a:t>
          </a:r>
          <a:r>
            <a:rPr kumimoji="1" lang="ja-JP" altLang="en-US" sz="1100" b="1">
              <a:latin typeface="ＭＳ 明朝"/>
              <a:ea typeface="ＭＳ 明朝"/>
            </a:rPr>
            <a:t>月～</a:t>
          </a:r>
          <a:r>
            <a:rPr kumimoji="1" lang="en-US" altLang="ja-JP" sz="1100" b="1">
              <a:latin typeface="ＭＳ 明朝"/>
              <a:ea typeface="ＭＳ 明朝"/>
            </a:rPr>
            <a:t>12</a:t>
          </a:r>
          <a:r>
            <a:rPr kumimoji="1" lang="ja-JP" altLang="en-US" sz="1100" b="1">
              <a:latin typeface="ＭＳ 明朝"/>
              <a:ea typeface="ＭＳ 明朝"/>
            </a:rPr>
            <a:t>月の年内の収支で、収支報告書にのせるものは「収支」欄に〇を入れる</a:t>
          </a:r>
          <a:endParaRPr kumimoji="1" lang="en-US" altLang="ja-JP" sz="1100" b="1">
            <a:latin typeface="ＭＳ 明朝"/>
            <a:ea typeface="ＭＳ 明朝"/>
          </a:endParaRPr>
        </a:p>
        <a:p>
          <a:r>
            <a:rPr kumimoji="1" lang="ja-JP" altLang="en-US" sz="1100" b="1">
              <a:latin typeface="ＭＳ 明朝"/>
              <a:ea typeface="ＭＳ 明朝"/>
            </a:rPr>
            <a:t>・</a:t>
          </a:r>
          <a:r>
            <a:rPr kumimoji="1" lang="en-US" altLang="ja-JP" sz="1100" b="1">
              <a:latin typeface="ＭＳ 明朝"/>
              <a:ea typeface="ＭＳ 明朝"/>
            </a:rPr>
            <a:t>4</a:t>
          </a:r>
          <a:r>
            <a:rPr kumimoji="1" lang="ja-JP" altLang="en-US" sz="1100" b="1">
              <a:latin typeface="ＭＳ 明朝"/>
              <a:ea typeface="ＭＳ 明朝"/>
            </a:rPr>
            <a:t>月～翌</a:t>
          </a:r>
          <a:r>
            <a:rPr kumimoji="1" lang="en-US" altLang="ja-JP" sz="1100" b="1">
              <a:latin typeface="ＭＳ 明朝"/>
              <a:ea typeface="ＭＳ 明朝"/>
            </a:rPr>
            <a:t>3</a:t>
          </a:r>
          <a:r>
            <a:rPr kumimoji="1" lang="ja-JP" altLang="en-US" sz="1100" b="1">
              <a:latin typeface="ＭＳ 明朝"/>
              <a:ea typeface="ＭＳ 明朝"/>
            </a:rPr>
            <a:t>月の年度内の収支で、実績報告書にのせるものは「実績」欄に〇を入れる</a:t>
          </a:r>
          <a:endParaRPr kumimoji="1" lang="en-US" altLang="ja-JP" sz="1100" b="1">
            <a:latin typeface="ＭＳ 明朝"/>
            <a:ea typeface="ＭＳ 明朝"/>
          </a:endParaRPr>
        </a:p>
        <a:p>
          <a:r>
            <a:rPr kumimoji="1" lang="ja-JP" altLang="en-US" sz="1100" b="1">
              <a:latin typeface="ＭＳ 明朝"/>
              <a:ea typeface="ＭＳ 明朝"/>
            </a:rPr>
            <a:t>⇒それぞれの報告書に自動で集計されます。</a:t>
          </a:r>
          <a:endParaRPr kumimoji="1" lang="ja-JP" altLang="en-US" sz="1100" b="1">
            <a:latin typeface="ＭＳ 明朝"/>
            <a:ea typeface="ＭＳ 明朝"/>
          </a:endParaRPr>
        </a:p>
      </xdr:txBody>
    </xdr:sp>
    <xdr:clientData/>
  </xdr:twoCellAnchor>
  <xdr:twoCellAnchor>
    <xdr:from xmlns:xdr="http://schemas.openxmlformats.org/drawingml/2006/spreadsheetDrawing">
      <xdr:col>14</xdr:col>
      <xdr:colOff>133350</xdr:colOff>
      <xdr:row>15</xdr:row>
      <xdr:rowOff>20320</xdr:rowOff>
    </xdr:from>
    <xdr:to xmlns:xdr="http://schemas.openxmlformats.org/drawingml/2006/spreadsheetDrawing">
      <xdr:col>19</xdr:col>
      <xdr:colOff>276225</xdr:colOff>
      <xdr:row>19</xdr:row>
      <xdr:rowOff>145415</xdr:rowOff>
    </xdr:to>
    <xdr:sp macro="" textlink="">
      <xdr:nvSpPr>
        <xdr:cNvPr id="3" name="テキスト ボックス 2"/>
        <xdr:cNvSpPr txBox="1"/>
      </xdr:nvSpPr>
      <xdr:spPr>
        <a:xfrm>
          <a:off x="12058650" y="3693160"/>
          <a:ext cx="3038475" cy="1039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latin typeface="ＭＳ 明朝"/>
              <a:ea typeface="ＭＳ 明朝"/>
            </a:rPr>
            <a:t>★共同機械購入費について★</a:t>
          </a:r>
          <a:endParaRPr kumimoji="1" lang="en-US" altLang="ja-JP" sz="1100" b="1">
            <a:solidFill>
              <a:srgbClr val="FF0000"/>
            </a:solidFill>
            <a:latin typeface="ＭＳ 明朝"/>
            <a:ea typeface="ＭＳ 明朝"/>
          </a:endParaRPr>
        </a:p>
        <a:p>
          <a:r>
            <a:rPr kumimoji="1" lang="en-US" altLang="ja-JP" sz="1100" b="1">
              <a:solidFill>
                <a:srgbClr val="FF0000"/>
              </a:solidFill>
              <a:latin typeface="ＭＳ 明朝"/>
              <a:ea typeface="ＭＳ 明朝"/>
            </a:rPr>
            <a:t>2.</a:t>
          </a:r>
          <a:r>
            <a:rPr kumimoji="1" lang="ja-JP" altLang="en-US" sz="1100" b="1">
              <a:solidFill>
                <a:srgbClr val="FF0000"/>
              </a:solidFill>
              <a:latin typeface="ＭＳ 明朝"/>
              <a:ea typeface="ＭＳ 明朝"/>
            </a:rPr>
            <a:t>支出明細のシートでは、減価償却対象のものについて経費外支出で計上しますが共同機械購入費して計上してください。</a:t>
          </a:r>
          <a:endParaRPr kumimoji="1" lang="en-US" altLang="ja-JP" sz="1100" b="1">
            <a:solidFill>
              <a:srgbClr val="FF0000"/>
            </a:solidFill>
            <a:latin typeface="ＭＳ 明朝"/>
            <a:ea typeface="ＭＳ 明朝"/>
          </a:endParaRPr>
        </a:p>
      </xdr:txBody>
    </xdr:sp>
    <xdr:clientData/>
  </xdr:twoCellAnchor>
  <xdr:twoCellAnchor>
    <xdr:from xmlns:xdr="http://schemas.openxmlformats.org/drawingml/2006/spreadsheetDrawing">
      <xdr:col>14</xdr:col>
      <xdr:colOff>123190</xdr:colOff>
      <xdr:row>8</xdr:row>
      <xdr:rowOff>145415</xdr:rowOff>
    </xdr:from>
    <xdr:to xmlns:xdr="http://schemas.openxmlformats.org/drawingml/2006/spreadsheetDrawing">
      <xdr:col>19</xdr:col>
      <xdr:colOff>258445</xdr:colOff>
      <xdr:row>13</xdr:row>
      <xdr:rowOff>61595</xdr:rowOff>
    </xdr:to>
    <xdr:sp macro="" textlink="">
      <xdr:nvSpPr>
        <xdr:cNvPr id="4" name="テキスト ボックス 3"/>
        <xdr:cNvSpPr txBox="1"/>
      </xdr:nvSpPr>
      <xdr:spPr>
        <a:xfrm>
          <a:off x="12048490" y="2218055"/>
          <a:ext cx="3030855" cy="1059180"/>
        </a:xfrm>
        <a:prstGeom prst="rect">
          <a:avLst/>
        </a:prstGeom>
        <a:solidFill>
          <a:srgbClr val="92D05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latin typeface="ＭＳ 明朝"/>
              <a:ea typeface="ＭＳ 明朝"/>
            </a:rPr>
            <a:t>★「加算措置取組」の欄について★</a:t>
          </a:r>
          <a:endParaRPr kumimoji="1" lang="en-US" altLang="ja-JP" sz="1100" b="1">
            <a:latin typeface="ＭＳ 明朝"/>
            <a:ea typeface="ＭＳ 明朝"/>
          </a:endParaRPr>
        </a:p>
        <a:p>
          <a:r>
            <a:rPr kumimoji="1" lang="ja-JP" altLang="en-US" sz="1100" b="1">
              <a:latin typeface="ＭＳ 明朝"/>
              <a:ea typeface="ＭＳ 明朝"/>
            </a:rPr>
            <a:t>加算措置の取組みにおいて、支出しているものには○を入れる。</a:t>
          </a:r>
          <a:endParaRPr kumimoji="1" lang="en-US" altLang="ja-JP" sz="1100" b="1">
            <a:latin typeface="ＭＳ 明朝"/>
            <a:ea typeface="ＭＳ 明朝"/>
          </a:endParaRPr>
        </a:p>
      </xdr:txBody>
    </xdr:sp>
    <xdr:clientData/>
  </xdr:twoCellAnchor>
  <xdr:twoCellAnchor>
    <xdr:from xmlns:xdr="http://schemas.openxmlformats.org/drawingml/2006/spreadsheetDrawing">
      <xdr:col>15</xdr:col>
      <xdr:colOff>641985</xdr:colOff>
      <xdr:row>30</xdr:row>
      <xdr:rowOff>52070</xdr:rowOff>
    </xdr:from>
    <xdr:to xmlns:xdr="http://schemas.openxmlformats.org/drawingml/2006/spreadsheetDrawing">
      <xdr:col>19</xdr:col>
      <xdr:colOff>212725</xdr:colOff>
      <xdr:row>33</xdr:row>
      <xdr:rowOff>186690</xdr:rowOff>
    </xdr:to>
    <xdr:sp macro="" textlink="">
      <xdr:nvSpPr>
        <xdr:cNvPr id="5" name="AutoShape 17"/>
        <xdr:cNvSpPr>
          <a:spLocks noChangeArrowheads="1"/>
        </xdr:cNvSpPr>
      </xdr:nvSpPr>
      <xdr:spPr>
        <a:xfrm flipH="1">
          <a:off x="12795885" y="7153910"/>
          <a:ext cx="2237740" cy="820420"/>
        </a:xfrm>
        <a:prstGeom prst="wedgeRoundRectCallout">
          <a:avLst>
            <a:gd name="adj1" fmla="val 100288"/>
            <a:gd name="adj2" fmla="val 92959"/>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t" upright="1"/>
        <a:lstStyle/>
        <a:p>
          <a:pPr algn="l" rtl="0">
            <a:defRPr sz="1000"/>
          </a:pPr>
          <a:r>
            <a:rPr lang="ja-JP" altLang="en-US" sz="1200" b="1" i="0" u="none" strike="noStrike" baseline="0">
              <a:solidFill>
                <a:srgbClr val="000000"/>
              </a:solidFill>
              <a:latin typeface="ＭＳ Ｐゴシック"/>
              <a:ea typeface="ＭＳ Ｐゴシック"/>
            </a:rPr>
            <a:t>減価償却対象のものについても、共同機械購入費として計上してください。</a:t>
          </a: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15</xdr:col>
      <xdr:colOff>447675</xdr:colOff>
      <xdr:row>36</xdr:row>
      <xdr:rowOff>30480</xdr:rowOff>
    </xdr:from>
    <xdr:to xmlns:xdr="http://schemas.openxmlformats.org/drawingml/2006/spreadsheetDrawing">
      <xdr:col>19</xdr:col>
      <xdr:colOff>165100</xdr:colOff>
      <xdr:row>38</xdr:row>
      <xdr:rowOff>113030</xdr:rowOff>
    </xdr:to>
    <xdr:sp macro="" textlink="">
      <xdr:nvSpPr>
        <xdr:cNvPr id="6" name="AutoShape 11"/>
        <xdr:cNvSpPr>
          <a:spLocks noChangeArrowheads="1"/>
        </xdr:cNvSpPr>
      </xdr:nvSpPr>
      <xdr:spPr>
        <a:xfrm flipH="1">
          <a:off x="12601575" y="8503920"/>
          <a:ext cx="2384425" cy="539750"/>
        </a:xfrm>
        <a:prstGeom prst="wedgeRoundRectCallout">
          <a:avLst>
            <a:gd name="adj1" fmla="val 77877"/>
            <a:gd name="adj2" fmla="val 102182"/>
            <a:gd name="adj3" fmla="val 16667"/>
          </a:avLst>
        </a:prstGeom>
        <a:solidFill>
          <a:srgbClr val="FFFFFF"/>
        </a:solidFill>
        <a:ln w="9525">
          <a:solidFill>
            <a:srgbClr val="000000"/>
          </a:solidFill>
          <a:miter lim="800000"/>
          <a:headEnd/>
          <a:tailEnd/>
        </a:ln>
      </xdr:spPr>
      <xdr:txBody>
        <a:bodyPr vertOverflow="clip" horzOverflow="overflow" wrap="square" lIns="27432" tIns="18288" rIns="27432" bIns="18288" anchor="t" upright="1"/>
        <a:lstStyle/>
        <a:p>
          <a:pPr algn="l" rtl="0">
            <a:defRPr sz="1000"/>
          </a:pPr>
          <a:r>
            <a:rPr lang="ja-JP" altLang="en-US" sz="1200" b="1" i="0" u="none" strike="noStrike" baseline="0">
              <a:solidFill>
                <a:srgbClr val="000000"/>
              </a:solidFill>
              <a:latin typeface="ＭＳ Ｐゴシック"/>
              <a:ea typeface="ＭＳ Ｐゴシック"/>
            </a:rPr>
            <a:t>収支報告は1月1日～12月31日</a:t>
          </a:r>
          <a:endParaRPr lang="ja-JP" altLang="en-US"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実績報告は4月1日～3月31日</a:t>
          </a:r>
          <a:endParaRPr lang="ja-JP" altLang="en-US" sz="1200" b="1"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37</xdr:row>
      <xdr:rowOff>9525</xdr:rowOff>
    </xdr:from>
    <xdr:to xmlns:xdr="http://schemas.openxmlformats.org/drawingml/2006/spreadsheetDrawing">
      <xdr:col>5</xdr:col>
      <xdr:colOff>9525</xdr:colOff>
      <xdr:row>38</xdr:row>
      <xdr:rowOff>0</xdr:rowOff>
    </xdr:to>
    <xdr:sp macro="" textlink="">
      <xdr:nvSpPr>
        <xdr:cNvPr id="1357" name="Line 1"/>
        <xdr:cNvSpPr>
          <a:spLocks noChangeShapeType="1"/>
        </xdr:cNvSpPr>
      </xdr:nvSpPr>
      <xdr:spPr>
        <a:xfrm>
          <a:off x="3095625" y="9115425"/>
          <a:ext cx="981075" cy="285750"/>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36</xdr:row>
      <xdr:rowOff>9525</xdr:rowOff>
    </xdr:from>
    <xdr:to xmlns:xdr="http://schemas.openxmlformats.org/drawingml/2006/spreadsheetDrawing">
      <xdr:col>5</xdr:col>
      <xdr:colOff>9525</xdr:colOff>
      <xdr:row>37</xdr:row>
      <xdr:rowOff>0</xdr:rowOff>
    </xdr:to>
    <xdr:sp macro="" textlink="">
      <xdr:nvSpPr>
        <xdr:cNvPr id="2" name="Line 1"/>
        <xdr:cNvSpPr>
          <a:spLocks noChangeShapeType="1"/>
        </xdr:cNvSpPr>
      </xdr:nvSpPr>
      <xdr:spPr>
        <a:xfrm>
          <a:off x="3352800" y="8991600"/>
          <a:ext cx="981075" cy="295275"/>
        </a:xfrm>
        <a:prstGeom prst="line">
          <a:avLst/>
        </a:prstGeom>
        <a:noFill/>
        <a:ln w="317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21</xdr:col>
      <xdr:colOff>83820</xdr:colOff>
      <xdr:row>4</xdr:row>
      <xdr:rowOff>182245</xdr:rowOff>
    </xdr:from>
    <xdr:to xmlns:xdr="http://schemas.openxmlformats.org/drawingml/2006/spreadsheetDrawing">
      <xdr:col>42</xdr:col>
      <xdr:colOff>125730</xdr:colOff>
      <xdr:row>14</xdr:row>
      <xdr:rowOff>327025</xdr:rowOff>
    </xdr:to>
    <xdr:sp macro="" textlink="">
      <xdr:nvSpPr>
        <xdr:cNvPr id="3" name="角丸四角形 2"/>
        <xdr:cNvSpPr/>
      </xdr:nvSpPr>
      <xdr:spPr>
        <a:xfrm>
          <a:off x="8046720" y="1249045"/>
          <a:ext cx="2842260" cy="3078480"/>
        </a:xfrm>
        <a:prstGeom prst="roundRect">
          <a:avLst/>
        </a:prstGeom>
        <a:solidFill>
          <a:srgbClr val="FFFFFF"/>
        </a:solidFill>
        <a:ln w="2857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l">
            <a:lnSpc>
              <a:spcPts val="2000"/>
            </a:lnSpc>
          </a:pPr>
          <a:r>
            <a:rPr kumimoji="1" lang="ja-JP" altLang="en-US" sz="1600"/>
            <a:t>　数字を入力すると名前を入力した順に協定者毎にデータが自動的に入ります。</a:t>
          </a:r>
          <a:endParaRPr kumimoji="1" lang="en-US" altLang="ja-JP" sz="1600"/>
        </a:p>
        <a:p>
          <a:pPr algn="l">
            <a:lnSpc>
              <a:spcPts val="2000"/>
            </a:lnSpc>
          </a:pPr>
          <a:r>
            <a:rPr kumimoji="1" lang="ja-JP" altLang="en-US" sz="1600"/>
            <a:t>（</a:t>
          </a:r>
          <a:r>
            <a:rPr kumimoji="1" lang="en-US" altLang="ja-JP" sz="1600"/>
            <a:t>29</a:t>
          </a:r>
          <a:r>
            <a:rPr kumimoji="1" lang="ja-JP" altLang="en-US" sz="1600"/>
            <a:t>人目以降は</a:t>
          </a:r>
          <a:r>
            <a:rPr kumimoji="1" lang="en-US" altLang="ja-JP" sz="1600"/>
            <a:t>1</a:t>
          </a:r>
          <a:r>
            <a:rPr kumimoji="1" lang="ja-JP" altLang="en-US" sz="1600"/>
            <a:t>を足して数値を入力してください（</a:t>
          </a:r>
          <a:r>
            <a:rPr kumimoji="1" lang="en-US" altLang="ja-JP" sz="1600"/>
            <a:t>29</a:t>
          </a:r>
          <a:r>
            <a:rPr kumimoji="1" lang="ja-JP" altLang="en-US" sz="1600"/>
            <a:t>なら</a:t>
          </a:r>
          <a:r>
            <a:rPr kumimoji="1" lang="en-US" altLang="ja-JP" sz="1600"/>
            <a:t>30</a:t>
          </a:r>
          <a:r>
            <a:rPr kumimoji="1" lang="ja-JP" altLang="en-US" sz="1600"/>
            <a:t>で入力））</a:t>
          </a:r>
          <a:endParaRPr kumimoji="1" lang="en-US" altLang="ja-JP" sz="1600"/>
        </a:p>
        <a:p>
          <a:pPr algn="l">
            <a:lnSpc>
              <a:spcPts val="1900"/>
            </a:lnSpc>
          </a:pPr>
          <a:endParaRPr kumimoji="1" lang="en-US" altLang="ja-JP" sz="1600"/>
        </a:p>
        <a:p>
          <a:pPr algn="l">
            <a:lnSpc>
              <a:spcPts val="2000"/>
            </a:lnSpc>
          </a:pPr>
          <a:r>
            <a:rPr kumimoji="1" lang="ja-JP" altLang="en-US" sz="1600"/>
            <a:t>　印刷は番号を入力した後、１人づつそれぞれに印刷を行ってください。</a:t>
          </a:r>
        </a:p>
      </xdr:txBody>
    </xdr:sp>
    <xdr:clientData/>
  </xdr:twoCellAnchor>
  <xdr:twoCellAnchor>
    <xdr:from xmlns:xdr="http://schemas.openxmlformats.org/drawingml/2006/spreadsheetDrawing">
      <xdr:col>24</xdr:col>
      <xdr:colOff>104775</xdr:colOff>
      <xdr:row>3</xdr:row>
      <xdr:rowOff>9525</xdr:rowOff>
    </xdr:from>
    <xdr:to xmlns:xdr="http://schemas.openxmlformats.org/drawingml/2006/spreadsheetDrawing">
      <xdr:col>27</xdr:col>
      <xdr:colOff>9525</xdr:colOff>
      <xdr:row>4</xdr:row>
      <xdr:rowOff>104775</xdr:rowOff>
    </xdr:to>
    <xdr:cxnSp macro="">
      <xdr:nvCxnSpPr>
        <xdr:cNvPr id="12816" name="直線矢印コネクタ 4"/>
        <xdr:cNvCxnSpPr>
          <a:cxnSpLocks noChangeShapeType="1"/>
        </xdr:cNvCxnSpPr>
      </xdr:nvCxnSpPr>
      <xdr:spPr>
        <a:xfrm rot="16200000" flipV="1">
          <a:off x="8467725" y="809625"/>
          <a:ext cx="304800" cy="361950"/>
        </a:xfrm>
        <a:prstGeom prst="straightConnector1">
          <a:avLst/>
        </a:prstGeom>
        <a:noFill/>
        <a:ln w="28575" algn="ctr">
          <a:solidFill>
            <a:srgbClr val="000000"/>
          </a:solidFill>
          <a:round/>
          <a:headEnd/>
          <a:tailEnd type="arrow" w="med" len="med"/>
        </a:ln>
      </xdr:spPr>
    </xdr:cxn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45</xdr:col>
      <xdr:colOff>257175</xdr:colOff>
      <xdr:row>0</xdr:row>
      <xdr:rowOff>104775</xdr:rowOff>
    </xdr:from>
    <xdr:to xmlns:xdr="http://schemas.openxmlformats.org/drawingml/2006/spreadsheetDrawing">
      <xdr:col>46</xdr:col>
      <xdr:colOff>447675</xdr:colOff>
      <xdr:row>0</xdr:row>
      <xdr:rowOff>581025</xdr:rowOff>
    </xdr:to>
    <xdr:sp macro="" textlink="">
      <xdr:nvSpPr>
        <xdr:cNvPr id="9465" name="テキスト ボックス 1"/>
        <xdr:cNvSpPr txBox="1">
          <a:spLocks noChangeArrowheads="1"/>
        </xdr:cNvSpPr>
      </xdr:nvSpPr>
      <xdr:spPr>
        <a:xfrm>
          <a:off x="18430875" y="104775"/>
          <a:ext cx="876300" cy="476250"/>
        </a:xfrm>
        <a:prstGeom prst="rect">
          <a:avLst/>
        </a:prstGeom>
        <a:noFill/>
        <a:ln w="9525">
          <a:noFill/>
          <a:miter lim="800000"/>
          <a:headEnd/>
          <a:tailEnd/>
        </a:ln>
      </xdr:spPr>
      <xdr:txBody>
        <a:bodyPr vertOverflow="clip" horzOverflow="overflow" wrap="square"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旧定額法</a:t>
          </a:r>
          <a:endParaRPr lang="ja-JP" altLang="en-US" sz="1100" b="0" i="0" u="none" strike="noStrike" baseline="0">
            <a:solidFill>
              <a:srgbClr val="000000"/>
            </a:solidFill>
            <a:latin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償却率</a:t>
          </a:r>
        </a:p>
      </xdr:txBody>
    </xdr:sp>
    <xdr:clientData/>
  </xdr:twoCellAnchor>
  <xdr:twoCellAnchor>
    <xdr:from xmlns:xdr="http://schemas.openxmlformats.org/drawingml/2006/spreadsheetDrawing">
      <xdr:col>47</xdr:col>
      <xdr:colOff>190500</xdr:colOff>
      <xdr:row>0</xdr:row>
      <xdr:rowOff>95885</xdr:rowOff>
    </xdr:from>
    <xdr:to xmlns:xdr="http://schemas.openxmlformats.org/drawingml/2006/spreadsheetDrawing">
      <xdr:col>48</xdr:col>
      <xdr:colOff>447675</xdr:colOff>
      <xdr:row>0</xdr:row>
      <xdr:rowOff>581025</xdr:rowOff>
    </xdr:to>
    <xdr:sp macro="" textlink="">
      <xdr:nvSpPr>
        <xdr:cNvPr id="9466" name="テキスト ボックス 2"/>
        <xdr:cNvSpPr txBox="1">
          <a:spLocks noChangeArrowheads="1"/>
        </xdr:cNvSpPr>
      </xdr:nvSpPr>
      <xdr:spPr>
        <a:xfrm>
          <a:off x="19735800" y="95885"/>
          <a:ext cx="942975" cy="485140"/>
        </a:xfrm>
        <a:prstGeom prst="rect">
          <a:avLst/>
        </a:prstGeom>
        <a:noFill/>
        <a:ln w="9525">
          <a:noFill/>
          <a:miter lim="800000"/>
          <a:headEnd/>
          <a:tailEnd/>
        </a:ln>
      </xdr:spPr>
      <xdr:txBody>
        <a:bodyPr vertOverflow="clip" horzOverflow="overflow" wrap="square" anchor="ctr" upright="1"/>
        <a:lstStyle/>
        <a:p>
          <a:pPr algn="ctr" rtl="0">
            <a:lnSpc>
              <a:spcPts val="1100"/>
            </a:lnSpc>
            <a:defRPr sz="1000"/>
          </a:pPr>
          <a:r>
            <a:rPr lang="ja-JP" altLang="en-US" sz="1100" b="0" i="0" u="none" strike="noStrike" baseline="0">
              <a:solidFill>
                <a:srgbClr val="000000"/>
              </a:solidFill>
              <a:latin typeface="ＭＳ Ｐゴシック"/>
              <a:ea typeface="ＭＳ Ｐゴシック"/>
            </a:rPr>
            <a:t>新定額法</a:t>
          </a:r>
          <a:endParaRPr lang="ja-JP" altLang="en-US" sz="1100" b="0" i="0" u="none" strike="noStrike" baseline="0">
            <a:solidFill>
              <a:srgbClr val="000000"/>
            </a:solidFill>
            <a:latin typeface="Calibri"/>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償却率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8100" cmpd="dbl">
          <a:solidFill>
            <a:srgbClr val="000000"/>
          </a:solidFill>
          <a:miter lim="800000"/>
          <a:headEnd/>
          <a:tailEnd/>
        </a:ln>
      </a:spPr>
      <a:bodyPr vertOverflow="overflow" horzOverflow="overflow"/>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9.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3.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C38"/>
  <sheetViews>
    <sheetView showGridLines="0" tabSelected="1" view="pageBreakPreview" zoomScaleSheetLayoutView="100" workbookViewId="0">
      <selection activeCell="F30" sqref="F30"/>
    </sheetView>
  </sheetViews>
  <sheetFormatPr defaultRowHeight="30" customHeight="1"/>
  <cols>
    <col min="1" max="1" width="1.875" style="1" customWidth="1"/>
    <col min="2" max="2" width="3.125" style="2" customWidth="1"/>
    <col min="3" max="3" width="88.625" style="3" customWidth="1"/>
    <col min="4" max="16384" width="9" style="1" customWidth="1"/>
  </cols>
  <sheetData>
    <row r="1" spans="2:3" ht="31.5" customHeight="1">
      <c r="C1" s="10"/>
    </row>
    <row r="2" spans="2:3" ht="26.25" customHeight="1">
      <c r="B2" s="6">
        <v>1</v>
      </c>
      <c r="C2" s="11" t="s">
        <v>824</v>
      </c>
    </row>
    <row r="3" spans="2:3" ht="26.25" customHeight="1">
      <c r="B3" s="6">
        <v>2</v>
      </c>
      <c r="C3" s="11" t="s">
        <v>563</v>
      </c>
    </row>
    <row r="4" spans="2:3" ht="26.25" customHeight="1">
      <c r="B4" s="6">
        <v>3</v>
      </c>
      <c r="C4" s="11" t="s">
        <v>37</v>
      </c>
    </row>
    <row r="5" spans="2:3" ht="21.75" customHeight="1">
      <c r="C5" s="12" t="s">
        <v>275</v>
      </c>
    </row>
    <row r="6" spans="2:3" ht="21" customHeight="1">
      <c r="C6" s="13" t="s">
        <v>644</v>
      </c>
    </row>
    <row r="7" spans="2:3" ht="21" customHeight="1">
      <c r="C7" s="14" t="s">
        <v>898</v>
      </c>
    </row>
    <row r="8" spans="2:3" s="4" customFormat="1" ht="17.25">
      <c r="B8" s="7"/>
      <c r="C8" s="13" t="s">
        <v>643</v>
      </c>
    </row>
    <row r="9" spans="2:3" s="5" customFormat="1" ht="32.25" customHeight="1">
      <c r="B9" s="8"/>
      <c r="C9" s="12" t="s">
        <v>194</v>
      </c>
    </row>
    <row r="10" spans="2:3" ht="21" customHeight="1">
      <c r="C10" s="15" t="s">
        <v>642</v>
      </c>
    </row>
    <row r="11" spans="2:3" ht="18.75" customHeight="1">
      <c r="C11" s="3" t="s">
        <v>8</v>
      </c>
    </row>
    <row r="12" spans="2:3" ht="18.75" customHeight="1">
      <c r="C12" s="3" t="s">
        <v>15</v>
      </c>
    </row>
    <row r="13" spans="2:3" ht="18.75" customHeight="1">
      <c r="C13" s="3" t="s">
        <v>12</v>
      </c>
    </row>
    <row r="14" spans="2:3" ht="21" customHeight="1">
      <c r="C14" s="15" t="s">
        <v>584</v>
      </c>
    </row>
    <row r="15" spans="2:3" ht="18.75" customHeight="1">
      <c r="C15" s="3" t="s">
        <v>18</v>
      </c>
    </row>
    <row r="16" spans="2:3" ht="18.75" customHeight="1">
      <c r="C16" s="3" t="s">
        <v>14</v>
      </c>
    </row>
    <row r="17" spans="2:3" ht="18.75" customHeight="1">
      <c r="C17" s="3" t="s">
        <v>5</v>
      </c>
    </row>
    <row r="18" spans="2:3" ht="18.75" hidden="1" customHeight="1">
      <c r="C18" s="3" t="s">
        <v>461</v>
      </c>
    </row>
    <row r="19" spans="2:3" ht="21" customHeight="1">
      <c r="C19" s="15" t="s">
        <v>659</v>
      </c>
    </row>
    <row r="20" spans="2:3" ht="17.25">
      <c r="C20" s="3" t="s">
        <v>654</v>
      </c>
    </row>
    <row r="21" spans="2:3" ht="21" customHeight="1">
      <c r="C21" s="15" t="s">
        <v>399</v>
      </c>
    </row>
    <row r="22" spans="2:3" ht="21" customHeight="1">
      <c r="C22" s="15" t="s">
        <v>139</v>
      </c>
    </row>
    <row r="23" spans="2:3" ht="31.5" customHeight="1">
      <c r="C23" s="12" t="s">
        <v>155</v>
      </c>
    </row>
    <row r="24" spans="2:3" ht="23.25" customHeight="1">
      <c r="C24" s="15" t="s">
        <v>320</v>
      </c>
    </row>
    <row r="25" spans="2:3" ht="32.25" customHeight="1">
      <c r="C25" s="3" t="s">
        <v>636</v>
      </c>
    </row>
    <row r="26" spans="2:3" ht="21" customHeight="1">
      <c r="C26" s="15" t="s">
        <v>504</v>
      </c>
    </row>
    <row r="27" spans="2:3" ht="87.75" customHeight="1">
      <c r="C27" s="12" t="s">
        <v>655</v>
      </c>
    </row>
    <row r="28" spans="2:3" ht="26.25" customHeight="1">
      <c r="B28" s="6">
        <v>4</v>
      </c>
      <c r="C28" s="11" t="s">
        <v>823</v>
      </c>
    </row>
    <row r="29" spans="2:3" ht="21.75" customHeight="1">
      <c r="B29" s="6"/>
      <c r="C29" s="16" t="s">
        <v>1</v>
      </c>
    </row>
    <row r="30" spans="2:3" ht="21.75" customHeight="1">
      <c r="B30" s="6"/>
      <c r="C30" s="17" t="s">
        <v>825</v>
      </c>
    </row>
    <row r="31" spans="2:3" ht="21.75" customHeight="1">
      <c r="B31" s="6"/>
      <c r="C31" s="16" t="s">
        <v>826</v>
      </c>
    </row>
    <row r="32" spans="2:3" ht="26.25" customHeight="1">
      <c r="B32" s="6">
        <v>5</v>
      </c>
      <c r="C32" s="11" t="s">
        <v>414</v>
      </c>
    </row>
    <row r="33" spans="2:3" ht="18.75" customHeight="1">
      <c r="C33" s="3" t="s">
        <v>833</v>
      </c>
    </row>
    <row r="34" spans="2:3" ht="52.5" customHeight="1">
      <c r="B34" s="6">
        <v>6</v>
      </c>
      <c r="C34" s="18" t="s">
        <v>682</v>
      </c>
    </row>
    <row r="35" spans="2:3" ht="59.25" customHeight="1">
      <c r="B35" s="9"/>
      <c r="C35" s="19" t="s">
        <v>60</v>
      </c>
    </row>
    <row r="36" spans="2:3" ht="26.25" customHeight="1">
      <c r="B36" s="6">
        <v>7</v>
      </c>
      <c r="C36" s="20" t="s">
        <v>4</v>
      </c>
    </row>
    <row r="37" spans="2:3" ht="41.25" customHeight="1">
      <c r="C37" s="3" t="s">
        <v>653</v>
      </c>
    </row>
    <row r="38" spans="2:3" ht="18" customHeight="1">
      <c r="C38" s="1"/>
    </row>
  </sheetData>
  <phoneticPr fontId="5"/>
  <printOptions horizontalCentered="1" verticalCentered="1"/>
  <pageMargins left="0.59055118110236227" right="0.59055118110236227" top="0.19685039370078741" bottom="0.19685039370078741" header="0.31496062992125984" footer="0.31496062992125984"/>
  <pageSetup paperSize="9" scale="92"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A40"/>
  <sheetViews>
    <sheetView view="pageBreakPreview" zoomScaleNormal="85" zoomScaleSheetLayoutView="100" workbookViewId="0">
      <selection activeCell="A9" sqref="A9:S9"/>
    </sheetView>
  </sheetViews>
  <sheetFormatPr defaultColWidth="1.75" defaultRowHeight="13.5"/>
  <cols>
    <col min="1" max="1" width="1.75" style="653"/>
    <col min="2" max="2" width="4.625" style="653" customWidth="1"/>
    <col min="3" max="3" width="1.75" style="653"/>
    <col min="4" max="4" width="10.375" style="653" customWidth="1"/>
    <col min="5" max="6" width="2.875" style="653" customWidth="1"/>
    <col min="7" max="7" width="8.625" style="653" customWidth="1"/>
    <col min="8" max="9" width="1.75" style="653"/>
    <col min="10" max="10" width="4.5" style="653" bestFit="1" customWidth="1"/>
    <col min="11" max="11" width="3.625" style="653" customWidth="1"/>
    <col min="12" max="12" width="1.75" style="653"/>
    <col min="13" max="13" width="9" style="653" customWidth="1"/>
    <col min="14" max="14" width="1.75" style="653"/>
    <col min="15" max="15" width="6.625" style="653" customWidth="1"/>
    <col min="16" max="16" width="8.625" style="653" customWidth="1"/>
    <col min="17" max="17" width="10.125" style="653" customWidth="1"/>
    <col min="18" max="18" width="8" style="653" customWidth="1"/>
    <col min="19" max="19" width="10.625" style="653" customWidth="1"/>
    <col min="20" max="16384" width="1.75" style="653"/>
  </cols>
  <sheetData>
    <row r="1" spans="1:27" s="654" customFormat="1" ht="21" customHeight="1">
      <c r="A1" s="654"/>
      <c r="B1" s="654"/>
      <c r="C1" s="654"/>
      <c r="D1" s="654"/>
      <c r="E1" s="654"/>
      <c r="F1" s="654"/>
      <c r="G1" s="654"/>
      <c r="H1" s="654"/>
      <c r="I1" s="654"/>
      <c r="J1" s="654"/>
      <c r="K1" s="654"/>
      <c r="L1" s="654"/>
      <c r="M1" s="654"/>
      <c r="N1" s="654"/>
      <c r="O1" s="654"/>
      <c r="P1" s="654"/>
      <c r="Q1" s="719">
        <f ca="1">TODAY()</f>
        <v>45639</v>
      </c>
      <c r="R1" s="719"/>
      <c r="S1" s="719"/>
      <c r="X1" s="746" t="s">
        <v>227</v>
      </c>
      <c r="Y1" s="749"/>
      <c r="Z1" s="749"/>
      <c r="AA1" s="752"/>
    </row>
    <row r="2" spans="1:27" s="654" customFormat="1" ht="21" customHeight="1">
      <c r="A2" s="654"/>
      <c r="B2" s="654"/>
      <c r="C2" s="654"/>
      <c r="D2" s="654"/>
      <c r="E2" s="654"/>
      <c r="F2" s="654"/>
      <c r="G2" s="654"/>
      <c r="H2" s="654"/>
      <c r="I2" s="654"/>
      <c r="J2" s="654"/>
      <c r="K2" s="654"/>
      <c r="L2" s="654"/>
      <c r="M2" s="654"/>
      <c r="N2" s="654"/>
      <c r="O2" s="654"/>
      <c r="P2" s="654"/>
      <c r="Q2" s="720"/>
      <c r="R2" s="720"/>
      <c r="S2" s="720"/>
      <c r="X2" s="747">
        <v>1</v>
      </c>
      <c r="Y2" s="750"/>
      <c r="Z2" s="750"/>
      <c r="AA2" s="753"/>
    </row>
    <row r="3" spans="1:27" s="654" customFormat="1" ht="21" customHeight="1">
      <c r="A3" s="654"/>
      <c r="B3" s="656" t="str">
        <f>IF($X$2=0,"",INDEX('4.別紙1-2'!$A$5:$O$52,'5.個人配布用'!X2,1))</f>
        <v>十神　どじょ夫</v>
      </c>
      <c r="C3" s="656"/>
      <c r="D3" s="656"/>
      <c r="E3" s="679" t="s">
        <v>483</v>
      </c>
      <c r="F3" s="654"/>
      <c r="G3" s="654"/>
      <c r="H3" s="654"/>
      <c r="I3" s="654"/>
      <c r="J3" s="654"/>
      <c r="K3" s="654"/>
      <c r="L3" s="654"/>
      <c r="M3" s="654"/>
      <c r="N3" s="654"/>
      <c r="O3" s="654"/>
      <c r="P3" s="654"/>
      <c r="Q3" s="654"/>
      <c r="R3" s="654"/>
      <c r="S3" s="654"/>
      <c r="X3" s="748"/>
      <c r="Y3" s="751"/>
      <c r="Z3" s="751"/>
      <c r="AA3" s="754"/>
    </row>
    <row r="4" spans="1:27" s="654" customFormat="1" ht="21" customHeight="1">
      <c r="A4" s="654"/>
      <c r="B4" s="657"/>
      <c r="C4" s="657"/>
      <c r="D4" s="657"/>
      <c r="E4" s="657"/>
      <c r="F4" s="654"/>
      <c r="G4" s="654"/>
      <c r="H4" s="654"/>
      <c r="I4" s="654"/>
      <c r="J4" s="654"/>
      <c r="K4" s="654"/>
      <c r="L4" s="654"/>
      <c r="M4" s="654"/>
      <c r="N4" s="654"/>
      <c r="O4" s="654"/>
      <c r="P4" s="654"/>
      <c r="Q4" s="654"/>
      <c r="R4" s="654"/>
      <c r="S4" s="654"/>
      <c r="X4" s="654"/>
      <c r="Y4" s="654"/>
      <c r="Z4" s="654"/>
      <c r="AA4" s="654"/>
    </row>
    <row r="5" spans="1:27" s="654" customFormat="1" ht="21" customHeight="1">
      <c r="A5" s="654"/>
      <c r="B5" s="654"/>
      <c r="C5" s="654"/>
      <c r="D5" s="654"/>
      <c r="E5" s="654"/>
      <c r="F5" s="654"/>
      <c r="G5" s="654"/>
      <c r="H5" s="654"/>
      <c r="I5" s="654"/>
      <c r="J5" s="654"/>
      <c r="K5" s="654"/>
      <c r="L5" s="654"/>
      <c r="M5" s="654"/>
      <c r="N5" s="654"/>
      <c r="O5" s="654"/>
      <c r="P5" s="654"/>
      <c r="Q5" s="721" t="s">
        <v>289</v>
      </c>
      <c r="R5" s="656" t="str">
        <f>IF($X$2=0,"",IF('1.入力表'!M3=0,"",'1.入力表'!M3&amp;"集落"))</f>
        <v>奥安来集落</v>
      </c>
      <c r="S5" s="656"/>
      <c r="X5" s="654"/>
      <c r="Y5" s="654"/>
      <c r="Z5" s="654"/>
      <c r="AA5" s="654"/>
    </row>
    <row r="6" spans="1:27" s="654" customFormat="1" ht="21" customHeight="1">
      <c r="A6" s="654"/>
      <c r="B6" s="654"/>
      <c r="C6" s="654"/>
      <c r="D6" s="654"/>
      <c r="E6" s="654"/>
      <c r="F6" s="654"/>
      <c r="G6" s="654"/>
      <c r="H6" s="654"/>
      <c r="I6" s="654"/>
      <c r="J6" s="654"/>
      <c r="K6" s="654"/>
      <c r="L6" s="654"/>
      <c r="M6" s="654"/>
      <c r="N6" s="654"/>
      <c r="O6" s="654"/>
      <c r="P6" s="654"/>
      <c r="Q6" s="722" t="s">
        <v>111</v>
      </c>
      <c r="R6" s="729" t="str">
        <f>IF($X$2=0,"",IF('1.入力表'!M4=0,"",'1.入力表'!M4&amp;"　印"))</f>
        <v>十神　どじょ夫　印</v>
      </c>
      <c r="S6" s="729"/>
      <c r="X6" s="654"/>
      <c r="Y6" s="654"/>
      <c r="Z6" s="654"/>
      <c r="AA6" s="654"/>
    </row>
    <row r="7" spans="1:27" s="654" customFormat="1" ht="21" customHeight="1">
      <c r="A7" s="654"/>
      <c r="B7" s="654"/>
      <c r="C7" s="654"/>
      <c r="D7" s="654"/>
      <c r="E7" s="654"/>
      <c r="F7" s="654"/>
      <c r="G7" s="654"/>
      <c r="H7" s="654"/>
      <c r="I7" s="654"/>
      <c r="J7" s="654"/>
      <c r="K7" s="654"/>
      <c r="L7" s="654"/>
      <c r="M7" s="654"/>
      <c r="N7" s="654"/>
      <c r="O7" s="654"/>
      <c r="P7" s="654"/>
      <c r="Q7" s="723"/>
      <c r="R7" s="730"/>
      <c r="S7" s="730"/>
      <c r="X7" s="654"/>
      <c r="Y7" s="654"/>
      <c r="Z7" s="654"/>
      <c r="AA7" s="654"/>
    </row>
    <row r="8" spans="1:27" s="654" customFormat="1" ht="21" customHeight="1">
      <c r="A8" s="654"/>
      <c r="B8" s="654"/>
      <c r="C8" s="654"/>
      <c r="D8" s="654"/>
      <c r="E8" s="654"/>
      <c r="F8" s="654"/>
      <c r="G8" s="654"/>
      <c r="H8" s="654"/>
      <c r="I8" s="654"/>
      <c r="J8" s="654"/>
      <c r="K8" s="654"/>
      <c r="L8" s="654"/>
      <c r="M8" s="654"/>
      <c r="N8" s="654"/>
      <c r="O8" s="654"/>
      <c r="P8" s="654"/>
      <c r="Q8" s="654"/>
      <c r="R8" s="654"/>
      <c r="S8" s="654"/>
      <c r="X8" s="654"/>
      <c r="Y8" s="654"/>
      <c r="Z8" s="654"/>
      <c r="AA8" s="654"/>
    </row>
    <row r="9" spans="1:27" s="654" customFormat="1" ht="30" customHeight="1">
      <c r="A9" s="655" t="str">
        <f>IF('1.入力表'!M2=0,"令和　　年分中山間地域等直接支払交付金の収支内訳書（個人別）","令和"&amp;+'1.入力表'!M2&amp;"年分中山間地域等直接支払交付金の収支内訳書（個人別）")</f>
        <v>令和6年分中山間地域等直接支払交付金の収支内訳書（個人別）</v>
      </c>
      <c r="B9" s="655"/>
      <c r="C9" s="655"/>
      <c r="D9" s="655"/>
      <c r="E9" s="655"/>
      <c r="F9" s="655"/>
      <c r="G9" s="655"/>
      <c r="H9" s="655"/>
      <c r="I9" s="655"/>
      <c r="J9" s="655"/>
      <c r="K9" s="655"/>
      <c r="L9" s="655"/>
      <c r="M9" s="655"/>
      <c r="N9" s="655"/>
      <c r="O9" s="655"/>
      <c r="P9" s="655"/>
      <c r="Q9" s="655"/>
      <c r="R9" s="655"/>
      <c r="S9" s="655"/>
      <c r="X9" s="654"/>
      <c r="Y9" s="654"/>
      <c r="Z9" s="654"/>
      <c r="AA9" s="654"/>
    </row>
    <row r="10" spans="1:27" s="654" customFormat="1" ht="21" customHeight="1">
      <c r="A10" s="655"/>
      <c r="B10" s="655"/>
      <c r="C10" s="655"/>
      <c r="D10" s="655"/>
      <c r="E10" s="655"/>
      <c r="F10" s="655"/>
      <c r="G10" s="655"/>
      <c r="H10" s="655"/>
      <c r="I10" s="655"/>
      <c r="J10" s="655"/>
      <c r="K10" s="655"/>
      <c r="L10" s="655"/>
      <c r="M10" s="655"/>
      <c r="N10" s="655"/>
      <c r="O10" s="655"/>
      <c r="P10" s="655"/>
      <c r="Q10" s="655"/>
      <c r="R10" s="655"/>
      <c r="S10" s="655"/>
      <c r="X10" s="654"/>
      <c r="Y10" s="654"/>
      <c r="Z10" s="654"/>
      <c r="AA10" s="654"/>
    </row>
    <row r="11" spans="1:27" s="654" customFormat="1" ht="21" customHeight="1">
      <c r="A11" s="654"/>
      <c r="B11" s="654"/>
      <c r="C11" s="654"/>
      <c r="D11" s="654"/>
      <c r="E11" s="654"/>
      <c r="F11" s="654"/>
      <c r="G11" s="654"/>
      <c r="H11" s="654"/>
      <c r="I11" s="654"/>
      <c r="J11" s="654"/>
      <c r="K11" s="654"/>
      <c r="L11" s="654"/>
      <c r="M11" s="654"/>
      <c r="N11" s="654"/>
      <c r="O11" s="654"/>
      <c r="P11" s="654"/>
      <c r="Q11" s="654"/>
      <c r="R11" s="654"/>
      <c r="S11" s="654"/>
      <c r="X11" s="654"/>
      <c r="Y11" s="654"/>
      <c r="Z11" s="654"/>
      <c r="AA11" s="654"/>
    </row>
    <row r="12" spans="1:27" ht="24" customHeight="1">
      <c r="A12" s="653" t="s">
        <v>485</v>
      </c>
      <c r="B12" s="654"/>
      <c r="C12" s="654"/>
      <c r="D12" s="654"/>
      <c r="E12" s="654"/>
      <c r="F12" s="654"/>
      <c r="G12" s="654"/>
      <c r="H12" s="654"/>
      <c r="I12" s="654"/>
      <c r="J12" s="654"/>
      <c r="K12" s="654"/>
      <c r="L12" s="654"/>
      <c r="M12" s="654"/>
      <c r="N12" s="654"/>
      <c r="O12" s="654"/>
      <c r="P12" s="654"/>
      <c r="Q12" s="654"/>
      <c r="R12" s="654"/>
      <c r="S12" s="654"/>
    </row>
    <row r="13" spans="1:27" ht="24" customHeight="1">
      <c r="A13" s="654"/>
      <c r="B13" s="654"/>
      <c r="C13" s="654"/>
      <c r="D13" s="654"/>
      <c r="E13" s="654"/>
      <c r="F13" s="654"/>
      <c r="G13" s="654"/>
      <c r="H13" s="654"/>
      <c r="I13" s="654"/>
      <c r="J13" s="654"/>
      <c r="K13" s="654"/>
      <c r="L13" s="654"/>
      <c r="M13" s="654"/>
      <c r="N13" s="654"/>
      <c r="O13" s="654"/>
      <c r="P13" s="654"/>
      <c r="Q13" s="654"/>
      <c r="R13" s="654"/>
      <c r="S13" s="654"/>
    </row>
    <row r="14" spans="1:27" ht="27" customHeight="1">
      <c r="B14" s="658" t="s">
        <v>467</v>
      </c>
      <c r="C14" s="658"/>
      <c r="D14" s="658"/>
      <c r="E14" s="658"/>
      <c r="F14" s="658"/>
      <c r="G14" s="658"/>
      <c r="H14" s="658"/>
      <c r="I14" s="658"/>
      <c r="J14" s="693" t="s">
        <v>476</v>
      </c>
      <c r="K14" s="698"/>
      <c r="L14" s="698"/>
      <c r="M14" s="698"/>
      <c r="N14" s="698"/>
      <c r="O14" s="698"/>
      <c r="P14" s="713"/>
      <c r="Q14" s="693" t="s">
        <v>291</v>
      </c>
      <c r="R14" s="698"/>
      <c r="S14" s="713"/>
    </row>
    <row r="15" spans="1:27" ht="27" customHeight="1">
      <c r="B15" s="659" t="s">
        <v>466</v>
      </c>
      <c r="C15" s="671" t="s">
        <v>481</v>
      </c>
      <c r="D15" s="671"/>
      <c r="E15" s="671"/>
      <c r="F15" s="671"/>
      <c r="G15" s="671"/>
      <c r="H15" s="671"/>
      <c r="I15" s="671"/>
      <c r="J15" s="665" t="s">
        <v>159</v>
      </c>
      <c r="K15" s="699">
        <f>IF($X$2=0,"",INDEX('4.別紙1-2'!$A$5:$O$52,'5.個人配布用'!$X$2,2))</f>
        <v>200000</v>
      </c>
      <c r="L15" s="699"/>
      <c r="M15" s="699"/>
      <c r="N15" s="699"/>
      <c r="O15" s="699"/>
      <c r="P15" s="714" t="s">
        <v>94</v>
      </c>
      <c r="Q15" s="724" t="s">
        <v>225</v>
      </c>
      <c r="R15" s="731"/>
      <c r="S15" s="738"/>
    </row>
    <row r="16" spans="1:27" ht="27" customHeight="1">
      <c r="B16" s="659"/>
      <c r="C16" s="671" t="s">
        <v>482</v>
      </c>
      <c r="D16" s="671"/>
      <c r="E16" s="671"/>
      <c r="F16" s="671"/>
      <c r="G16" s="671"/>
      <c r="H16" s="671"/>
      <c r="I16" s="671"/>
      <c r="J16" s="665" t="s">
        <v>162</v>
      </c>
      <c r="K16" s="699">
        <f>IF($X$2=0,"",INDEX('4.別紙1-2'!$A$5:$O$52,'5.個人配布用'!$X$2,3))</f>
        <v>500000</v>
      </c>
      <c r="L16" s="699"/>
      <c r="M16" s="699"/>
      <c r="N16" s="699"/>
      <c r="O16" s="699"/>
      <c r="P16" s="714" t="s">
        <v>94</v>
      </c>
      <c r="Q16" s="725" t="s">
        <v>193</v>
      </c>
      <c r="R16" s="732"/>
      <c r="S16" s="739"/>
    </row>
    <row r="17" spans="2:19" ht="27" customHeight="1">
      <c r="B17" s="659"/>
      <c r="C17" s="671" t="s">
        <v>410</v>
      </c>
      <c r="D17" s="671"/>
      <c r="E17" s="671"/>
      <c r="F17" s="671"/>
      <c r="G17" s="671"/>
      <c r="H17" s="671"/>
      <c r="I17" s="671"/>
      <c r="J17" s="665" t="s">
        <v>9</v>
      </c>
      <c r="K17" s="699">
        <f>IF($X$2=0,"",INDEX('4.別紙1-2'!$A$5:$O$52,'5.個人配布用'!$X$2,10))</f>
        <v>46000</v>
      </c>
      <c r="L17" s="699"/>
      <c r="M17" s="699"/>
      <c r="N17" s="699"/>
      <c r="O17" s="699"/>
      <c r="P17" s="714" t="s">
        <v>94</v>
      </c>
      <c r="Q17" s="724" t="s">
        <v>230</v>
      </c>
      <c r="R17" s="731"/>
      <c r="S17" s="738"/>
    </row>
    <row r="18" spans="2:19" ht="27" customHeight="1">
      <c r="B18" s="659"/>
      <c r="C18" s="671" t="s">
        <v>192</v>
      </c>
      <c r="D18" s="671"/>
      <c r="E18" s="671"/>
      <c r="F18" s="671"/>
      <c r="G18" s="671"/>
      <c r="H18" s="671"/>
      <c r="I18" s="671"/>
      <c r="J18" s="665" t="s">
        <v>326</v>
      </c>
      <c r="K18" s="699">
        <f>IF($X$2=0,"",INDEX('4.別紙1-2'!$A$5:$O$52,'5.個人配布用'!$X$2,11))</f>
        <v>746000</v>
      </c>
      <c r="L18" s="699"/>
      <c r="M18" s="699"/>
      <c r="N18" s="699"/>
      <c r="O18" s="699"/>
      <c r="P18" s="714" t="s">
        <v>94</v>
      </c>
      <c r="Q18" s="726" t="s">
        <v>266</v>
      </c>
      <c r="R18" s="722"/>
      <c r="S18" s="740"/>
    </row>
    <row r="19" spans="2:19" ht="27" customHeight="1">
      <c r="B19" s="660" t="s">
        <v>370</v>
      </c>
      <c r="C19" s="672" t="s">
        <v>508</v>
      </c>
      <c r="D19" s="678"/>
      <c r="E19" s="678"/>
      <c r="F19" s="678"/>
      <c r="G19" s="678"/>
      <c r="H19" s="678"/>
      <c r="I19" s="691"/>
      <c r="J19" s="665" t="s">
        <v>363</v>
      </c>
      <c r="K19" s="699">
        <f>IF($X$2=0,"",INDEX('4.別紙1-2'!$A$5:$O$52,'5.個人配布用'!$X$2,13))</f>
        <v>86905</v>
      </c>
      <c r="L19" s="699"/>
      <c r="M19" s="699"/>
      <c r="N19" s="699"/>
      <c r="O19" s="699"/>
      <c r="P19" s="714" t="s">
        <v>94</v>
      </c>
      <c r="Q19" s="724" t="s">
        <v>502</v>
      </c>
      <c r="R19" s="731"/>
      <c r="S19" s="738"/>
    </row>
    <row r="20" spans="2:19" ht="27" customHeight="1">
      <c r="B20" s="661"/>
      <c r="C20" s="671" t="s">
        <v>49</v>
      </c>
      <c r="D20" s="671"/>
      <c r="E20" s="671"/>
      <c r="F20" s="671"/>
      <c r="G20" s="671"/>
      <c r="H20" s="671"/>
      <c r="I20" s="671"/>
      <c r="J20" s="665" t="s">
        <v>84</v>
      </c>
      <c r="K20" s="699">
        <f>IF(ISBLANK($X$2),"",INDEX('4.別紙1-2'!$A$5:$O$52,'5.個人配布用'!$X$2,14))</f>
        <v>21039</v>
      </c>
      <c r="L20" s="699"/>
      <c r="M20" s="699"/>
      <c r="N20" s="699"/>
      <c r="O20" s="699"/>
      <c r="P20" s="714" t="s">
        <v>94</v>
      </c>
      <c r="Q20" s="726" t="s">
        <v>68</v>
      </c>
      <c r="R20" s="722"/>
      <c r="S20" s="740"/>
    </row>
    <row r="21" spans="2:19" ht="27" customHeight="1">
      <c r="B21" s="662"/>
      <c r="C21" s="665" t="s">
        <v>192</v>
      </c>
      <c r="D21" s="673"/>
      <c r="E21" s="673"/>
      <c r="F21" s="673"/>
      <c r="G21" s="673"/>
      <c r="H21" s="673"/>
      <c r="I21" s="680"/>
      <c r="J21" s="694" t="s">
        <v>473</v>
      </c>
      <c r="K21" s="700">
        <f>IF(ISBLANK($X$2),"",IF('1.入力表'!F5=0," ",SUM(K19:K20)))</f>
        <v>107944</v>
      </c>
      <c r="L21" s="700"/>
      <c r="M21" s="700"/>
      <c r="N21" s="700"/>
      <c r="O21" s="700"/>
      <c r="P21" s="715" t="s">
        <v>94</v>
      </c>
      <c r="Q21" s="726" t="s">
        <v>487</v>
      </c>
      <c r="R21" s="722"/>
      <c r="S21" s="740"/>
    </row>
    <row r="22" spans="2:19" ht="27" customHeight="1">
      <c r="B22" s="663" t="s">
        <v>498</v>
      </c>
      <c r="C22" s="663"/>
      <c r="D22" s="663"/>
      <c r="E22" s="663"/>
      <c r="F22" s="663"/>
      <c r="G22" s="663"/>
      <c r="H22" s="663"/>
      <c r="I22" s="692"/>
      <c r="J22" s="695"/>
      <c r="K22" s="701">
        <f>IF(ISBLANK($X$2),"",INDEX('4.別紙1-2'!$A$5:$O$52,'5.個人配布用'!$X$2,15))</f>
        <v>638056</v>
      </c>
      <c r="L22" s="701"/>
      <c r="M22" s="701"/>
      <c r="N22" s="701"/>
      <c r="O22" s="701"/>
      <c r="P22" s="716" t="s">
        <v>94</v>
      </c>
      <c r="Q22" s="722" t="s">
        <v>278</v>
      </c>
      <c r="R22" s="722"/>
      <c r="S22" s="740"/>
    </row>
    <row r="23" spans="2:19" ht="24" customHeight="1">
      <c r="B23" s="664" t="s">
        <v>496</v>
      </c>
      <c r="C23" s="664"/>
      <c r="D23" s="664"/>
      <c r="E23" s="664"/>
      <c r="F23" s="664"/>
      <c r="G23" s="664"/>
      <c r="H23" s="664"/>
      <c r="I23" s="664"/>
      <c r="J23" s="664"/>
      <c r="K23" s="664"/>
      <c r="L23" s="664"/>
      <c r="M23" s="664"/>
      <c r="N23" s="664"/>
      <c r="O23" s="664"/>
      <c r="P23" s="664"/>
      <c r="Q23" s="664"/>
      <c r="R23" s="664"/>
    </row>
    <row r="24" spans="2:19" ht="24" customHeight="1">
      <c r="S24" s="741"/>
    </row>
    <row r="25" spans="2:19" ht="24" hidden="1" customHeight="1">
      <c r="B25" s="653" t="s">
        <v>355</v>
      </c>
    </row>
    <row r="26" spans="2:19" ht="24" hidden="1" customHeight="1">
      <c r="B26" s="665" t="s">
        <v>292</v>
      </c>
      <c r="C26" s="673"/>
      <c r="D26" s="673"/>
      <c r="E26" s="680"/>
      <c r="F26" s="665" t="s">
        <v>475</v>
      </c>
      <c r="G26" s="680"/>
      <c r="H26" s="665" t="s">
        <v>86</v>
      </c>
      <c r="I26" s="673"/>
      <c r="J26" s="673"/>
      <c r="K26" s="680"/>
      <c r="L26" s="665" t="s">
        <v>434</v>
      </c>
      <c r="M26" s="680"/>
      <c r="N26" s="682" t="s">
        <v>477</v>
      </c>
      <c r="O26" s="673"/>
      <c r="P26" s="673"/>
      <c r="Q26" s="680"/>
      <c r="R26" s="707" t="s">
        <v>479</v>
      </c>
      <c r="S26" s="707" t="s">
        <v>480</v>
      </c>
    </row>
    <row r="27" spans="2:19" ht="25.5" hidden="1" customHeight="1">
      <c r="B27" s="666"/>
      <c r="C27" s="674"/>
      <c r="D27" s="674"/>
      <c r="E27" s="681"/>
      <c r="F27" s="666"/>
      <c r="G27" s="681"/>
      <c r="H27" s="666"/>
      <c r="I27" s="674"/>
      <c r="J27" s="674"/>
      <c r="K27" s="681"/>
      <c r="L27" s="666"/>
      <c r="M27" s="681"/>
      <c r="N27" s="666"/>
      <c r="O27" s="674"/>
      <c r="P27" s="674"/>
      <c r="Q27" s="681"/>
      <c r="R27" s="733"/>
      <c r="S27" s="733"/>
    </row>
    <row r="28" spans="2:19" ht="24" hidden="1" customHeight="1">
      <c r="B28" s="666"/>
      <c r="C28" s="674"/>
      <c r="D28" s="674"/>
      <c r="E28" s="681"/>
      <c r="F28" s="666"/>
      <c r="G28" s="681"/>
      <c r="H28" s="666"/>
      <c r="I28" s="674"/>
      <c r="J28" s="674"/>
      <c r="K28" s="681"/>
      <c r="L28" s="666"/>
      <c r="M28" s="681"/>
      <c r="N28" s="666"/>
      <c r="O28" s="674"/>
      <c r="P28" s="674"/>
      <c r="Q28" s="681"/>
      <c r="R28" s="733"/>
      <c r="S28" s="733"/>
    </row>
    <row r="29" spans="2:19" ht="47.25" hidden="1" customHeight="1">
      <c r="B29" s="667" t="s">
        <v>463</v>
      </c>
    </row>
    <row r="30" spans="2:19" ht="24" customHeight="1">
      <c r="B30" s="653" t="s">
        <v>407</v>
      </c>
    </row>
    <row r="31" spans="2:19" ht="54" customHeight="1">
      <c r="B31" s="668" t="s">
        <v>372</v>
      </c>
      <c r="C31" s="675" t="s">
        <v>292</v>
      </c>
      <c r="D31" s="675"/>
      <c r="E31" s="682" t="s">
        <v>470</v>
      </c>
      <c r="F31" s="680"/>
      <c r="G31" s="682" t="s">
        <v>495</v>
      </c>
      <c r="H31" s="673"/>
      <c r="I31" s="673"/>
      <c r="J31" s="680"/>
      <c r="K31" s="682" t="s">
        <v>460</v>
      </c>
      <c r="L31" s="704"/>
      <c r="M31" s="707" t="s">
        <v>493</v>
      </c>
      <c r="N31" s="682" t="s">
        <v>161</v>
      </c>
      <c r="O31" s="704"/>
      <c r="P31" s="682" t="str">
        <f>IF('1.入力表'!M2=0,"令和　　年分償却費
④×⑤×⑥×⑦","令和"&amp;+'1.入力表'!M2&amp;"年分償却費
④×⑤×⑥×⑦")</f>
        <v>令和6年分償却費
④×⑤×⑥×⑦</v>
      </c>
      <c r="Q31" s="680"/>
      <c r="R31" s="704" t="s">
        <v>182</v>
      </c>
      <c r="S31" s="707" t="s">
        <v>349</v>
      </c>
    </row>
    <row r="32" spans="2:19" ht="27" customHeight="1">
      <c r="B32" s="669"/>
      <c r="C32" s="676" t="str">
        <f>IF(ISBLANK($X$2),"",IF('6.償却資産明細書'!A5="","",'6.償却資産明細書'!A5))</f>
        <v>動力草刈機</v>
      </c>
      <c r="D32" s="676"/>
      <c r="E32" s="683">
        <f>IF(ISBLANK($X$2),"",IF('6.償却資産明細書'!F5="","",'6.償却資産明細書'!F5))</f>
        <v>45627</v>
      </c>
      <c r="F32" s="685"/>
      <c r="G32" s="687">
        <f>IF(ISBLANK($X$2),"",IF('6.償却資産明細書'!L5=0,"",'6.償却資産明細書'!L5))</f>
        <v>3259350</v>
      </c>
      <c r="H32" s="689"/>
      <c r="I32" s="689">
        <v>0</v>
      </c>
      <c r="J32" s="696"/>
      <c r="K32" s="702">
        <f>IF(ISBLANK($X$2),"",IF('6.償却資産明細書'!A5=0,"",'6.償却資産明細書'!T5))</f>
        <v>7</v>
      </c>
      <c r="L32" s="705"/>
      <c r="M32" s="676">
        <f>IF(ISBLANK($X$2),"",IF('6.償却資産明細書'!A5=0,"",'6.償却資産明細書'!U5))</f>
        <v>0.14299999999999999</v>
      </c>
      <c r="N32" s="709">
        <f>IF(ISBLANK($X$2),"",IF('6.償却資産明細書'!W5=0,"",'6.償却資産明細書'!W5))</f>
        <v>8.3333333333333329e-002</v>
      </c>
      <c r="O32" s="711"/>
      <c r="P32" s="717">
        <f>IF(ISBLANK($X$2),"",IF('6.償却資産明細書'!AI5=0,"",'6.償却資産明細書'!AI5))</f>
        <v>38841</v>
      </c>
      <c r="Q32" s="727" t="s">
        <v>280</v>
      </c>
      <c r="R32" s="734"/>
      <c r="S32" s="742"/>
    </row>
    <row r="33" spans="2:19" ht="27" customHeight="1">
      <c r="B33" s="669"/>
      <c r="C33" s="676" t="str">
        <f>IF(ISBLANK($X$2),"",IF('6.償却資産明細書'!A6="","",'6.償却資産明細書'!A6))</f>
        <v>農薬散布用ドローン</v>
      </c>
      <c r="D33" s="676"/>
      <c r="E33" s="683">
        <f>IF(ISBLANK($X$2),"",IF('6.償却資産明細書'!F6="","",'6.償却資産明細書'!F6))</f>
        <v>45047</v>
      </c>
      <c r="F33" s="685"/>
      <c r="G33" s="687">
        <f>IF(ISBLANK($X$2),"",IF('6.償却資産明細書'!L6=0,"",'6.償却資産明細書'!L6))</f>
        <v>1200000</v>
      </c>
      <c r="H33" s="689"/>
      <c r="I33" s="689">
        <v>0</v>
      </c>
      <c r="J33" s="696"/>
      <c r="K33" s="702">
        <f>IF(ISBLANK($X$2),"",IF('6.償却資産明細書'!A6=0,"",'6.償却資産明細書'!T6))</f>
        <v>7</v>
      </c>
      <c r="L33" s="705"/>
      <c r="M33" s="676">
        <f>IF(ISBLANK($X$2),"",IF('6.償却資産明細書'!A6=0,"",'6.償却資産明細書'!U6))</f>
        <v>0.14299999999999999</v>
      </c>
      <c r="N33" s="709">
        <f>IF(ISBLANK($X$2),"",IF('6.償却資産明細書'!W6=0,"",'6.償却資産明細書'!W6))</f>
        <v>1</v>
      </c>
      <c r="O33" s="711"/>
      <c r="P33" s="717">
        <f>IF(ISBLANK($X$2),"",IF('6.償却資産明細書'!AI6=0,"",'6.償却資産明細書'!AI6))</f>
        <v>171600</v>
      </c>
      <c r="Q33" s="727" t="s">
        <v>280</v>
      </c>
      <c r="R33" s="735"/>
      <c r="S33" s="743"/>
    </row>
    <row r="34" spans="2:19" ht="27" customHeight="1">
      <c r="B34" s="669"/>
      <c r="C34" s="676" t="str">
        <f>IF(ISBLANK($X$2),"",IF('6.償却資産明細書'!A7="","",'6.償却資産明細書'!A7))</f>
        <v/>
      </c>
      <c r="D34" s="676"/>
      <c r="E34" s="683" t="str">
        <f>IF(ISBLANK($X$2),"",IF('6.償却資産明細書'!F7="","",'6.償却資産明細書'!F7))</f>
        <v/>
      </c>
      <c r="F34" s="685"/>
      <c r="G34" s="687" t="str">
        <f>IF(ISBLANK($X$2),"",IF('6.償却資産明細書'!L7=0,"",'6.償却資産明細書'!L7))</f>
        <v/>
      </c>
      <c r="H34" s="689"/>
      <c r="I34" s="689">
        <v>0</v>
      </c>
      <c r="J34" s="696"/>
      <c r="K34" s="702" t="str">
        <f>IF(ISBLANK($X$2),"",IF('6.償却資産明細書'!A7=0,"",'6.償却資産明細書'!T7))</f>
        <v/>
      </c>
      <c r="L34" s="705"/>
      <c r="M34" s="676" t="str">
        <f>IF(ISBLANK($X$2),"",IF('6.償却資産明細書'!A7=0,"",'6.償却資産明細書'!U7))</f>
        <v/>
      </c>
      <c r="N34" s="709" t="str">
        <f>IF(ISBLANK($X$2),"",IF('6.償却資産明細書'!W7=0,"",'6.償却資産明細書'!W7))</f>
        <v/>
      </c>
      <c r="O34" s="711"/>
      <c r="P34" s="717" t="str">
        <f>IF(ISBLANK($X$2),"",IF('6.償却資産明細書'!AI7=0,"",'6.償却資産明細書'!AI7))</f>
        <v/>
      </c>
      <c r="Q34" s="727" t="s">
        <v>280</v>
      </c>
      <c r="R34" s="735"/>
      <c r="S34" s="743"/>
    </row>
    <row r="35" spans="2:19" ht="27" customHeight="1">
      <c r="B35" s="669"/>
      <c r="C35" s="676" t="str">
        <f>IF(ISBLANK($X$2),"",IF('6.償却資産明細書'!A8="","",'6.償却資産明細書'!A8))</f>
        <v/>
      </c>
      <c r="D35" s="676"/>
      <c r="E35" s="683" t="str">
        <f>IF(ISBLANK($X$2),"",IF('6.償却資産明細書'!F8="","",'6.償却資産明細書'!F8))</f>
        <v/>
      </c>
      <c r="F35" s="685"/>
      <c r="G35" s="687" t="str">
        <f>IF(ISBLANK($X$2),"",IF('6.償却資産明細書'!L8=0,"",'6.償却資産明細書'!L8))</f>
        <v/>
      </c>
      <c r="H35" s="689"/>
      <c r="I35" s="689">
        <v>0</v>
      </c>
      <c r="J35" s="696"/>
      <c r="K35" s="702" t="str">
        <f>IF(ISBLANK($X$2),"",IF('6.償却資産明細書'!A8=0,"",'6.償却資産明細書'!T8))</f>
        <v/>
      </c>
      <c r="L35" s="705"/>
      <c r="M35" s="676" t="str">
        <f>IF(ISBLANK($X$2),"",IF('6.償却資産明細書'!A8=0,"",'6.償却資産明細書'!U8))</f>
        <v/>
      </c>
      <c r="N35" s="709" t="str">
        <f>IF(ISBLANK($X$2),"",IF('6.償却資産明細書'!W8=0,"",'6.償却資産明細書'!W8))</f>
        <v/>
      </c>
      <c r="O35" s="711"/>
      <c r="P35" s="717" t="str">
        <f>IF(ISBLANK($X$2),"",IF('6.償却資産明細書'!AI8=0,"",'6.償却資産明細書'!AI8))</f>
        <v/>
      </c>
      <c r="Q35" s="727" t="s">
        <v>280</v>
      </c>
      <c r="R35" s="735"/>
      <c r="S35" s="743"/>
    </row>
    <row r="36" spans="2:19" ht="27" customHeight="1">
      <c r="B36" s="669"/>
      <c r="C36" s="676" t="str">
        <f>IF(ISBLANK($X$2),"",IF('6.償却資産明細書'!A9="","",'6.償却資産明細書'!A9))</f>
        <v/>
      </c>
      <c r="D36" s="676"/>
      <c r="E36" s="683" t="str">
        <f>IF(ISBLANK($X$2),"",IF('6.償却資産明細書'!F9="","",'6.償却資産明細書'!F9))</f>
        <v/>
      </c>
      <c r="F36" s="685"/>
      <c r="G36" s="687" t="str">
        <f>IF(ISBLANK($X$2),"",IF('6.償却資産明細書'!L9=0,"",'6.償却資産明細書'!L9))</f>
        <v/>
      </c>
      <c r="H36" s="689"/>
      <c r="I36" s="689">
        <v>0</v>
      </c>
      <c r="J36" s="696"/>
      <c r="K36" s="702" t="str">
        <f>IF(ISBLANK($X$2),"",IF('6.償却資産明細書'!A9=0,"",'6.償却資産明細書'!T9))</f>
        <v/>
      </c>
      <c r="L36" s="705"/>
      <c r="M36" s="676" t="str">
        <f>IF(ISBLANK($X$2),"",IF('6.償却資産明細書'!A9=0,"",'6.償却資産明細書'!U9))</f>
        <v/>
      </c>
      <c r="N36" s="709" t="str">
        <f>IF(ISBLANK($X$2),"",IF('6.償却資産明細書'!W9=0,"",'6.償却資産明細書'!W9))</f>
        <v/>
      </c>
      <c r="O36" s="711"/>
      <c r="P36" s="717" t="str">
        <f>IF(ISBLANK($X$2),"",IF('6.償却資産明細書'!AI9=0,"",'6.償却資産明細書'!AI9))</f>
        <v/>
      </c>
      <c r="Q36" s="727" t="s">
        <v>280</v>
      </c>
      <c r="R36" s="735"/>
      <c r="S36" s="743"/>
    </row>
    <row r="37" spans="2:19" ht="27" customHeight="1">
      <c r="B37" s="669"/>
      <c r="C37" s="676" t="str">
        <f>IF(ISBLANK($X$2),"",IF('6.償却資産明細書'!A10="","",'6.償却資産明細書'!A10))</f>
        <v>　　　　　　　　</v>
      </c>
      <c r="D37" s="676"/>
      <c r="E37" s="683" t="str">
        <f>IF(ISBLANK($X$2),"",IF('6.償却資産明細書'!F10="","",'6.償却資産明細書'!F10))</f>
        <v/>
      </c>
      <c r="F37" s="685"/>
      <c r="G37" s="687" t="str">
        <f>IF(ISBLANK($X$2),"",IF('6.償却資産明細書'!L10=0,"",'6.償却資産明細書'!L10))</f>
        <v/>
      </c>
      <c r="H37" s="689"/>
      <c r="I37" s="689">
        <v>0</v>
      </c>
      <c r="J37" s="696"/>
      <c r="K37" s="702" t="str">
        <f>IF(ISBLANK($X$2),"",IF('6.償却資産明細書'!A10=0,"",'6.償却資産明細書'!T10))</f>
        <v/>
      </c>
      <c r="L37" s="705"/>
      <c r="M37" s="676" t="str">
        <f>IF(ISBLANK($X$2),"",IF('6.償却資産明細書'!A10=0,"",'6.償却資産明細書'!U10))</f>
        <v/>
      </c>
      <c r="N37" s="709" t="str">
        <f>IF(ISBLANK($X$2),"",IF('6.償却資産明細書'!W10=0,"",'6.償却資産明細書'!W10))</f>
        <v/>
      </c>
      <c r="O37" s="711"/>
      <c r="P37" s="717" t="str">
        <f>IF(ISBLANK($X$2),"",IF('6.償却資産明細書'!AI10=0,"",'6.償却資産明細書'!AI10))</f>
        <v/>
      </c>
      <c r="Q37" s="727" t="s">
        <v>280</v>
      </c>
      <c r="R37" s="735"/>
      <c r="S37" s="743"/>
    </row>
    <row r="38" spans="2:19" ht="27" customHeight="1">
      <c r="B38" s="669"/>
      <c r="C38" s="676" t="str">
        <f>IF(ISBLANK($X$2),"",IF('6.償却資産明細書'!A11="","",'6.償却資産明細書'!A11))</f>
        <v>　　　　　　　　</v>
      </c>
      <c r="D38" s="676"/>
      <c r="E38" s="683" t="str">
        <f>IF(ISBLANK($X$2),"",IF('6.償却資産明細書'!F11="","",'6.償却資産明細書'!F11))</f>
        <v/>
      </c>
      <c r="F38" s="685"/>
      <c r="G38" s="687" t="str">
        <f>IF(ISBLANK($X$2),"",IF('6.償却資産明細書'!L11=0,"",'6.償却資産明細書'!L11))</f>
        <v/>
      </c>
      <c r="H38" s="689"/>
      <c r="I38" s="689">
        <v>0</v>
      </c>
      <c r="J38" s="696"/>
      <c r="K38" s="702" t="str">
        <f>IF(ISBLANK($X$2),"",IF('6.償却資産明細書'!A11=0,"",'6.償却資産明細書'!T11))</f>
        <v/>
      </c>
      <c r="L38" s="705"/>
      <c r="M38" s="676" t="str">
        <f>IF(ISBLANK($X$2),"",IF('6.償却資産明細書'!A11=0,"",'6.償却資産明細書'!U11))</f>
        <v/>
      </c>
      <c r="N38" s="709" t="str">
        <f>IF(ISBLANK($X$2),"",IF('6.償却資産明細書'!W11=0,"",'6.償却資産明細書'!W11))</f>
        <v/>
      </c>
      <c r="O38" s="711"/>
      <c r="P38" s="717" t="str">
        <f>IF(ISBLANK($X$2),"",IF('6.償却資産明細書'!AI11=0,"",'6.償却資産明細書'!AI11))</f>
        <v/>
      </c>
      <c r="Q38" s="727" t="s">
        <v>280</v>
      </c>
      <c r="R38" s="735"/>
      <c r="S38" s="743"/>
    </row>
    <row r="39" spans="2:19" ht="27" customHeight="1">
      <c r="B39" s="669"/>
      <c r="C39" s="676" t="str">
        <f>IF(ISBLANK($X$2),"",IF('6.償却資産明細書'!A12="","",'6.償却資産明細書'!A12))</f>
        <v>　　　　　　　　</v>
      </c>
      <c r="D39" s="676"/>
      <c r="E39" s="683" t="str">
        <f>IF(ISBLANK($X$2),"",IF('6.償却資産明細書'!F12="","",'6.償却資産明細書'!F12))</f>
        <v/>
      </c>
      <c r="F39" s="685"/>
      <c r="G39" s="687" t="str">
        <f>IF(ISBLANK($X$2),"",IF('6.償却資産明細書'!L12=0,"",'6.償却資産明細書'!L12))</f>
        <v/>
      </c>
      <c r="H39" s="689"/>
      <c r="I39" s="689">
        <v>0</v>
      </c>
      <c r="J39" s="696"/>
      <c r="K39" s="702" t="str">
        <f>IF(ISBLANK($X$2),"",IF('6.償却資産明細書'!A12=0,"",'6.償却資産明細書'!T12))</f>
        <v/>
      </c>
      <c r="L39" s="705"/>
      <c r="M39" s="676" t="str">
        <f>IF(ISBLANK($X$2),"",IF('6.償却資産明細書'!A12=0,"",'6.償却資産明細書'!U12))</f>
        <v/>
      </c>
      <c r="N39" s="709" t="str">
        <f>IF(ISBLANK($X$2),"",IF('6.償却資産明細書'!W12=0,"",'6.償却資産明細書'!W12))</f>
        <v/>
      </c>
      <c r="O39" s="711"/>
      <c r="P39" s="717" t="str">
        <f>IF(ISBLANK($X$2),"",IF('6.償却資産明細書'!AI12=0,"",'6.償却資産明細書'!AI12))</f>
        <v/>
      </c>
      <c r="Q39" s="727" t="s">
        <v>280</v>
      </c>
      <c r="R39" s="736"/>
      <c r="S39" s="744"/>
    </row>
    <row r="40" spans="2:19" ht="27" customHeight="1">
      <c r="B40" s="670"/>
      <c r="C40" s="677" t="s">
        <v>216</v>
      </c>
      <c r="D40" s="677"/>
      <c r="E40" s="684"/>
      <c r="F40" s="686"/>
      <c r="G40" s="688"/>
      <c r="H40" s="690"/>
      <c r="I40" s="690"/>
      <c r="J40" s="697"/>
      <c r="K40" s="703"/>
      <c r="L40" s="706"/>
      <c r="M40" s="708"/>
      <c r="N40" s="710"/>
      <c r="O40" s="712"/>
      <c r="P40" s="718">
        <f>IF($X$2=0,"",IF('6.償却資産明細書'!AI13=0,"",'6.償却資産明細書'!AI13))</f>
        <v>210441</v>
      </c>
      <c r="Q40" s="728"/>
      <c r="R40" s="737" t="str">
        <f>IF(ISBLANK($X$2),"",IF(INDEX('6.償却資産明細書'!$A$19:$U$64,'5.個人配布用'!$X$2,6)=0,"",INDEX('6.償却資産明細書'!$A$19:$U$64,'5.個人配布用'!$X$2,3)&amp;"／"&amp;INDEX('6.償却資産明細書'!$A$19:$U$64,'5.個人配布用'!$X$2,5)))</f>
        <v>1／10</v>
      </c>
      <c r="S40" s="745">
        <f>INDEX('6.償却資産明細書'!$A$19:$U$64,'5.個人配布用'!$X$2,13)</f>
        <v>0</v>
      </c>
    </row>
  </sheetData>
  <sheetProtection algorithmName="SHA-512" hashValue="ymz1e85mkN8TELFOonW0g9o+/l530YK4oHYYD/r1NfDk/awbz7qVwuXdG3bX/vE+nd5nZxGkxmntP9PYSCc4ZA==" saltValue="IKfalnsVmVvxXKqLbmHMjA==" spinCount="100000" sheet="1" objects="1" scenarios="1"/>
  <mergeCells count="114">
    <mergeCell ref="Q1:S1"/>
    <mergeCell ref="X1:AA1"/>
    <mergeCell ref="B3:D3"/>
    <mergeCell ref="R5:S5"/>
    <mergeCell ref="R6:S6"/>
    <mergeCell ref="A9:S9"/>
    <mergeCell ref="B14:I14"/>
    <mergeCell ref="J14:P14"/>
    <mergeCell ref="Q14:S14"/>
    <mergeCell ref="C15:I15"/>
    <mergeCell ref="K15:O15"/>
    <mergeCell ref="Q15:S15"/>
    <mergeCell ref="C16:I16"/>
    <mergeCell ref="K16:O16"/>
    <mergeCell ref="Q16:S16"/>
    <mergeCell ref="C17:I17"/>
    <mergeCell ref="K17:O17"/>
    <mergeCell ref="Q17:S17"/>
    <mergeCell ref="C18:I18"/>
    <mergeCell ref="K18:O18"/>
    <mergeCell ref="Q18:S18"/>
    <mergeCell ref="C19:I19"/>
    <mergeCell ref="K19:O19"/>
    <mergeCell ref="Q19:S19"/>
    <mergeCell ref="C20:I20"/>
    <mergeCell ref="K20:O20"/>
    <mergeCell ref="Q20:S20"/>
    <mergeCell ref="C21:I21"/>
    <mergeCell ref="K21:O21"/>
    <mergeCell ref="Q21:S21"/>
    <mergeCell ref="B22:I22"/>
    <mergeCell ref="K22:O22"/>
    <mergeCell ref="Q22:S22"/>
    <mergeCell ref="B26:E26"/>
    <mergeCell ref="F26:G26"/>
    <mergeCell ref="H26:K26"/>
    <mergeCell ref="L26:M26"/>
    <mergeCell ref="N26:Q26"/>
    <mergeCell ref="B27:E27"/>
    <mergeCell ref="F27:G27"/>
    <mergeCell ref="H27:K27"/>
    <mergeCell ref="L27:M27"/>
    <mergeCell ref="N27:Q27"/>
    <mergeCell ref="B28:E28"/>
    <mergeCell ref="F28:G28"/>
    <mergeCell ref="H28:K28"/>
    <mergeCell ref="L28:M28"/>
    <mergeCell ref="N28:Q28"/>
    <mergeCell ref="C31:D31"/>
    <mergeCell ref="E31:F31"/>
    <mergeCell ref="G31:J31"/>
    <mergeCell ref="K31:L31"/>
    <mergeCell ref="N31:O31"/>
    <mergeCell ref="P31:Q31"/>
    <mergeCell ref="C32:D32"/>
    <mergeCell ref="E32:F32"/>
    <mergeCell ref="G32:J32"/>
    <mergeCell ref="K32:L32"/>
    <mergeCell ref="N32:O32"/>
    <mergeCell ref="P32:Q32"/>
    <mergeCell ref="C33:D33"/>
    <mergeCell ref="E33:F33"/>
    <mergeCell ref="G33:J33"/>
    <mergeCell ref="K33:L33"/>
    <mergeCell ref="N33:O33"/>
    <mergeCell ref="P33:Q33"/>
    <mergeCell ref="C34:D34"/>
    <mergeCell ref="E34:F34"/>
    <mergeCell ref="G34:J34"/>
    <mergeCell ref="K34:L34"/>
    <mergeCell ref="N34:O34"/>
    <mergeCell ref="P34:Q34"/>
    <mergeCell ref="C35:D35"/>
    <mergeCell ref="E35:F35"/>
    <mergeCell ref="G35:J35"/>
    <mergeCell ref="K35:L35"/>
    <mergeCell ref="N35:O35"/>
    <mergeCell ref="P35:Q35"/>
    <mergeCell ref="C36:D36"/>
    <mergeCell ref="E36:F36"/>
    <mergeCell ref="G36:J36"/>
    <mergeCell ref="K36:L36"/>
    <mergeCell ref="N36:O36"/>
    <mergeCell ref="P36:Q36"/>
    <mergeCell ref="C37:D37"/>
    <mergeCell ref="E37:F37"/>
    <mergeCell ref="G37:J37"/>
    <mergeCell ref="K37:L37"/>
    <mergeCell ref="N37:O37"/>
    <mergeCell ref="P37:Q37"/>
    <mergeCell ref="C38:D38"/>
    <mergeCell ref="E38:F38"/>
    <mergeCell ref="G38:J38"/>
    <mergeCell ref="K38:L38"/>
    <mergeCell ref="N38:O38"/>
    <mergeCell ref="P38:Q38"/>
    <mergeCell ref="C39:D39"/>
    <mergeCell ref="E39:F39"/>
    <mergeCell ref="G39:J39"/>
    <mergeCell ref="K39:L39"/>
    <mergeCell ref="N39:O39"/>
    <mergeCell ref="P39:Q39"/>
    <mergeCell ref="C40:D40"/>
    <mergeCell ref="E40:F40"/>
    <mergeCell ref="G40:J40"/>
    <mergeCell ref="K40:L40"/>
    <mergeCell ref="N40:O40"/>
    <mergeCell ref="P40:Q40"/>
    <mergeCell ref="X2:AA3"/>
    <mergeCell ref="B15:B18"/>
    <mergeCell ref="B19:B21"/>
    <mergeCell ref="B31:B40"/>
    <mergeCell ref="R32:R39"/>
    <mergeCell ref="S32:S39"/>
  </mergeCells>
  <phoneticPr fontId="5"/>
  <dataValidations count="1">
    <dataValidation imeMode="off" allowBlank="1" showDropDown="0" showInputMessage="1" showErrorMessage="1" sqref="X2:AA3"/>
  </dataValidations>
  <printOptions horizontalCentered="1"/>
  <pageMargins left="0.59055118110236227" right="0.59055118110236227" top="0.74803149606299213" bottom="0.74803149606299213" header="0.31496062992125984" footer="0.31496062992125984"/>
  <pageSetup paperSize="9" scale="90"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Y150"/>
  <sheetViews>
    <sheetView showGridLines="0" view="pageBreakPreview" zoomScaleSheetLayoutView="100" workbookViewId="0">
      <selection activeCell="L5" sqref="L5:N5"/>
    </sheetView>
  </sheetViews>
  <sheetFormatPr defaultRowHeight="13.5"/>
  <cols>
    <col min="1" max="1" width="6.25" style="755" customWidth="1"/>
    <col min="2" max="2" width="16.5" style="755" customWidth="1"/>
    <col min="3" max="3" width="6" style="755" customWidth="1"/>
    <col min="4" max="4" width="4.125" style="755" customWidth="1"/>
    <col min="5" max="5" width="3.875" style="755" customWidth="1"/>
    <col min="6" max="6" width="7.875" style="755" customWidth="1"/>
    <col min="7" max="7" width="5.5" style="755" customWidth="1"/>
    <col min="8" max="9" width="5.5" style="755" hidden="1" customWidth="1"/>
    <col min="10" max="11" width="10" style="755" hidden="1" customWidth="1"/>
    <col min="12" max="12" width="5.25" style="755" customWidth="1"/>
    <col min="13" max="13" width="4.25" style="755" customWidth="1"/>
    <col min="14" max="14" width="3.375" style="755" customWidth="1"/>
    <col min="15" max="17" width="3.875" style="755" customWidth="1"/>
    <col min="18" max="18" width="3.625" style="755" customWidth="1"/>
    <col min="19" max="19" width="2.625" style="755" customWidth="1"/>
    <col min="20" max="20" width="5" style="755" customWidth="1"/>
    <col min="21" max="21" width="2.625" style="755" customWidth="1"/>
    <col min="22" max="22" width="5.125" style="755" customWidth="1"/>
    <col min="23" max="23" width="6.5" style="755" customWidth="1"/>
    <col min="24" max="27" width="3" style="755" customWidth="1"/>
    <col min="28" max="30" width="2.625" style="755" customWidth="1"/>
    <col min="31" max="32" width="5" style="755" customWidth="1"/>
    <col min="33" max="34" width="2.875" style="755" customWidth="1"/>
    <col min="35" max="38" width="2.5" style="755" customWidth="1"/>
    <col min="39" max="40" width="5.25" style="755" customWidth="1"/>
    <col min="41" max="41" width="10.375" style="756" customWidth="1"/>
    <col min="42" max="43" width="10.375" style="756" hidden="1" customWidth="1"/>
    <col min="44" max="44" width="11.125" style="755" customWidth="1"/>
    <col min="45" max="46" width="9" style="755" customWidth="1"/>
    <col min="47" max="47" width="9" style="757" customWidth="1"/>
    <col min="48" max="49" width="9" style="755" customWidth="1"/>
    <col min="50" max="50" width="13.875" style="755" customWidth="1"/>
    <col min="51" max="51" width="13.75" style="755" customWidth="1"/>
    <col min="52" max="16384" width="9" style="755" customWidth="1"/>
  </cols>
  <sheetData>
    <row r="1" spans="1:51" ht="45.75" customHeight="1">
      <c r="B1" s="776" t="s">
        <v>393</v>
      </c>
      <c r="AT1" s="755" t="s">
        <v>295</v>
      </c>
      <c r="AU1" s="757" t="s">
        <v>386</v>
      </c>
      <c r="AV1" s="755" t="s">
        <v>295</v>
      </c>
      <c r="AW1" s="757" t="s">
        <v>386</v>
      </c>
      <c r="AX1" s="950" t="s">
        <v>303</v>
      </c>
    </row>
    <row r="2" spans="1:51" ht="18.75" customHeight="1">
      <c r="A2" s="760" t="s">
        <v>382</v>
      </c>
      <c r="B2" s="777"/>
      <c r="C2" s="796"/>
      <c r="D2" s="816" t="s">
        <v>571</v>
      </c>
      <c r="E2" s="831"/>
      <c r="F2" s="816" t="s">
        <v>141</v>
      </c>
      <c r="G2" s="831"/>
      <c r="H2" s="831"/>
      <c r="I2" s="831"/>
      <c r="J2" s="831"/>
      <c r="K2" s="831"/>
      <c r="L2" s="872" t="s">
        <v>86</v>
      </c>
      <c r="M2" s="872"/>
      <c r="N2" s="872"/>
      <c r="O2" s="872" t="s">
        <v>384</v>
      </c>
      <c r="P2" s="872"/>
      <c r="Q2" s="872"/>
      <c r="R2" s="872" t="s">
        <v>411</v>
      </c>
      <c r="S2" s="872"/>
      <c r="T2" s="915" t="s">
        <v>295</v>
      </c>
      <c r="U2" s="872" t="s">
        <v>386</v>
      </c>
      <c r="V2" s="872"/>
      <c r="W2" s="929" t="s">
        <v>160</v>
      </c>
      <c r="X2" s="872" t="s">
        <v>580</v>
      </c>
      <c r="Y2" s="872"/>
      <c r="Z2" s="872"/>
      <c r="AA2" s="872"/>
      <c r="AB2" s="872" t="s">
        <v>387</v>
      </c>
      <c r="AC2" s="872"/>
      <c r="AD2" s="872"/>
      <c r="AE2" s="872" t="s">
        <v>267</v>
      </c>
      <c r="AF2" s="872"/>
      <c r="AG2" s="872" t="s">
        <v>364</v>
      </c>
      <c r="AH2" s="872"/>
      <c r="AI2" s="872" t="s">
        <v>579</v>
      </c>
      <c r="AJ2" s="872"/>
      <c r="AK2" s="872"/>
      <c r="AL2" s="872"/>
      <c r="AM2" s="872" t="s">
        <v>390</v>
      </c>
      <c r="AN2" s="872"/>
      <c r="AO2" s="934" t="s">
        <v>577</v>
      </c>
      <c r="AP2" s="934"/>
      <c r="AQ2" s="934"/>
      <c r="AR2" s="943" t="s">
        <v>291</v>
      </c>
      <c r="AS2" s="947"/>
      <c r="AT2" s="755">
        <v>1</v>
      </c>
      <c r="AU2" s="757">
        <v>1</v>
      </c>
      <c r="AV2" s="755">
        <v>1</v>
      </c>
      <c r="AW2" s="757">
        <v>1</v>
      </c>
      <c r="AX2" s="951">
        <v>39173</v>
      </c>
      <c r="AY2" s="755" t="s">
        <v>835</v>
      </c>
    </row>
    <row r="3" spans="1:51" ht="18.75" customHeight="1">
      <c r="A3" s="761"/>
      <c r="B3" s="778"/>
      <c r="C3" s="797"/>
      <c r="D3" s="817"/>
      <c r="E3" s="832"/>
      <c r="F3" s="817"/>
      <c r="G3" s="832"/>
      <c r="H3" s="832"/>
      <c r="I3" s="832"/>
      <c r="J3" s="832"/>
      <c r="K3" s="832"/>
      <c r="L3" s="872"/>
      <c r="M3" s="872"/>
      <c r="N3" s="872"/>
      <c r="O3" s="872"/>
      <c r="P3" s="872"/>
      <c r="Q3" s="872"/>
      <c r="R3" s="872"/>
      <c r="S3" s="872"/>
      <c r="T3" s="916"/>
      <c r="U3" s="872"/>
      <c r="V3" s="872"/>
      <c r="W3" s="929"/>
      <c r="X3" s="872"/>
      <c r="Y3" s="872"/>
      <c r="Z3" s="872"/>
      <c r="AA3" s="872"/>
      <c r="AB3" s="872"/>
      <c r="AC3" s="872"/>
      <c r="AD3" s="872"/>
      <c r="AE3" s="872"/>
      <c r="AF3" s="872"/>
      <c r="AG3" s="872"/>
      <c r="AH3" s="872"/>
      <c r="AI3" s="872"/>
      <c r="AJ3" s="872"/>
      <c r="AK3" s="872"/>
      <c r="AL3" s="872"/>
      <c r="AM3" s="872"/>
      <c r="AN3" s="872"/>
      <c r="AO3" s="935"/>
      <c r="AP3" s="935"/>
      <c r="AQ3" s="935"/>
      <c r="AR3" s="944"/>
      <c r="AS3" s="947"/>
      <c r="AT3" s="755">
        <v>2</v>
      </c>
      <c r="AU3" s="757">
        <v>0.5</v>
      </c>
      <c r="AV3" s="755">
        <v>2</v>
      </c>
      <c r="AW3" s="757">
        <v>0.5</v>
      </c>
      <c r="AX3" s="951">
        <v>45658</v>
      </c>
      <c r="AY3" s="952">
        <f>YEAR(AX3)</f>
        <v>2025</v>
      </c>
    </row>
    <row r="4" spans="1:51" ht="26.25" customHeight="1">
      <c r="A4" s="762"/>
      <c r="B4" s="779"/>
      <c r="C4" s="798"/>
      <c r="D4" s="818"/>
      <c r="E4" s="833"/>
      <c r="F4" s="837"/>
      <c r="G4" s="833"/>
      <c r="H4" s="833"/>
      <c r="I4" s="833"/>
      <c r="J4" s="833"/>
      <c r="K4" s="833"/>
      <c r="L4" s="872"/>
      <c r="M4" s="872"/>
      <c r="N4" s="872"/>
      <c r="O4" s="872"/>
      <c r="P4" s="872"/>
      <c r="Q4" s="872"/>
      <c r="R4" s="872"/>
      <c r="S4" s="872"/>
      <c r="T4" s="917"/>
      <c r="U4" s="872"/>
      <c r="V4" s="872"/>
      <c r="W4" s="929"/>
      <c r="X4" s="872"/>
      <c r="Y4" s="872"/>
      <c r="Z4" s="872"/>
      <c r="AA4" s="872"/>
      <c r="AB4" s="872"/>
      <c r="AC4" s="872"/>
      <c r="AD4" s="872"/>
      <c r="AE4" s="872"/>
      <c r="AF4" s="872"/>
      <c r="AG4" s="872"/>
      <c r="AH4" s="872"/>
      <c r="AI4" s="872"/>
      <c r="AJ4" s="872"/>
      <c r="AK4" s="872"/>
      <c r="AL4" s="872"/>
      <c r="AM4" s="872"/>
      <c r="AN4" s="872"/>
      <c r="AO4" s="936"/>
      <c r="AP4" s="936"/>
      <c r="AQ4" s="936"/>
      <c r="AR4" s="945"/>
      <c r="AS4" s="947"/>
      <c r="AT4" s="755">
        <v>3</v>
      </c>
      <c r="AU4" s="757">
        <v>0.33300000000000002</v>
      </c>
      <c r="AV4" s="755">
        <v>3</v>
      </c>
      <c r="AW4" s="757">
        <v>0.33400000000000002</v>
      </c>
      <c r="AX4" s="757"/>
      <c r="AY4" s="952">
        <f>MONTH(AX3)</f>
        <v>1</v>
      </c>
    </row>
    <row r="5" spans="1:51" ht="38.25" customHeight="1">
      <c r="A5" s="763" t="s">
        <v>531</v>
      </c>
      <c r="B5" s="780"/>
      <c r="C5" s="799"/>
      <c r="D5" s="763">
        <v>1</v>
      </c>
      <c r="E5" s="799"/>
      <c r="F5" s="838">
        <v>45627</v>
      </c>
      <c r="G5" s="850"/>
      <c r="H5" s="862">
        <f t="shared" ref="H5:H12" si="0">YEAR(F5)</f>
        <v>2024</v>
      </c>
      <c r="I5" s="862">
        <f t="shared" ref="I5:I12" si="1">MONTH(F5)</f>
        <v>12</v>
      </c>
      <c r="J5" s="862">
        <f t="shared" ref="J5:J12" si="2">DAY(F5)</f>
        <v>1</v>
      </c>
      <c r="K5" s="871">
        <f t="shared" ref="K5:K12" si="3">DATE(H5+T5,I5,J5-1)</f>
        <v>48182</v>
      </c>
      <c r="L5" s="873">
        <v>3259350</v>
      </c>
      <c r="M5" s="873"/>
      <c r="N5" s="873"/>
      <c r="O5" s="890">
        <f t="shared" ref="O5:O12" si="4">IF(OR(F5="",L5=""),"",IF(F5&lt;$AX$2,L5*0.9,L5))</f>
        <v>3259350</v>
      </c>
      <c r="P5" s="890"/>
      <c r="Q5" s="890"/>
      <c r="R5" s="910" t="s">
        <v>574</v>
      </c>
      <c r="S5" s="910"/>
      <c r="T5" s="918">
        <f t="shared" ref="T5:T12" si="5">IF(ISERROR(VLOOKUP(A5,$B$71:$G$148,4,0)),"",VLOOKUP(A5,$B$71:$G$148,4,FALSE))</f>
        <v>7</v>
      </c>
      <c r="U5" s="920">
        <f>IF(F5="","",IF(F5&lt;$AX$2,LOOKUP(T5,AT2:AT49,AU2:AU49),LOOKUP(T5,AV2:AV49,AW2:AW49)))</f>
        <v>0.14299999999999999</v>
      </c>
      <c r="V5" s="920"/>
      <c r="W5" s="930">
        <f t="shared" ref="W5:W12" si="6">IF(AY$3-H5=8,(I5-1)/12,IF(AY$3-H5&gt;8,0,IF(H5=AY$3-1,(13-I5)/12,12/12)))</f>
        <v>8.3333333333333329e-002</v>
      </c>
      <c r="X5" s="890">
        <f t="shared" ref="X5:X12" si="7">IF(O5="","",ROUNDUP(O5*U5*W5,0))</f>
        <v>38841</v>
      </c>
      <c r="Y5" s="890"/>
      <c r="Z5" s="890"/>
      <c r="AA5" s="890"/>
      <c r="AB5" s="931"/>
      <c r="AC5" s="931"/>
      <c r="AD5" s="931"/>
      <c r="AE5" s="890">
        <f t="shared" ref="AE5:AE12" si="8">IF(X5="","",X5+AB5)</f>
        <v>38841</v>
      </c>
      <c r="AF5" s="890"/>
      <c r="AG5" s="933">
        <v>1</v>
      </c>
      <c r="AH5" s="933"/>
      <c r="AI5" s="890">
        <f t="shared" ref="AI5:AI12" si="9">IF(AE5&gt;AO5,AO5-1,IF(AE5="","",AE5*AG5))</f>
        <v>38841</v>
      </c>
      <c r="AJ5" s="890"/>
      <c r="AK5" s="890"/>
      <c r="AL5" s="890"/>
      <c r="AM5" s="932">
        <f t="shared" ref="AM5:AM12" si="10">IF(O5="","",IF(AI5&gt;AO5,1,IF(AO5="",O5-AI5,AO5-AI5)))</f>
        <v>3220509</v>
      </c>
      <c r="AN5" s="932"/>
      <c r="AO5" s="937" t="str">
        <f t="shared" ref="AO5:AO12" si="11">IF(O5="","",IF(AY$3-H5&gt;8,1,IF(AY$3-H5&gt;1,O5-AP5-AQ5,"")))</f>
        <v/>
      </c>
      <c r="AP5" s="873">
        <f t="shared" ref="AP5:AP12" si="12">IF(AY$3-H5&gt;8,O5-1,IF(AY$3-H5&gt;1,(AY$3-H5-2)*ROUNDUP(O5*U5,0),0))</f>
        <v>0</v>
      </c>
      <c r="AQ5" s="873">
        <f t="shared" ref="AQ5:AQ12" si="13">IF(I5&gt;1,ROUNDUP((13-I5)/12*O5*U5,0),0)</f>
        <v>38841</v>
      </c>
      <c r="AR5" s="946"/>
      <c r="AS5" s="948"/>
      <c r="AT5" s="755">
        <v>4</v>
      </c>
      <c r="AU5" s="757">
        <v>0.25</v>
      </c>
      <c r="AV5" s="755">
        <v>4</v>
      </c>
      <c r="AW5" s="757">
        <v>0.25</v>
      </c>
      <c r="AX5" s="757"/>
      <c r="AY5" s="953">
        <f>DAY(AX3)</f>
        <v>1</v>
      </c>
    </row>
    <row r="6" spans="1:51" ht="38.25" customHeight="1">
      <c r="A6" s="763" t="s">
        <v>832</v>
      </c>
      <c r="B6" s="780"/>
      <c r="C6" s="799"/>
      <c r="D6" s="763">
        <v>1</v>
      </c>
      <c r="E6" s="799"/>
      <c r="F6" s="838">
        <v>45047</v>
      </c>
      <c r="G6" s="850"/>
      <c r="H6" s="862">
        <f t="shared" si="0"/>
        <v>2023</v>
      </c>
      <c r="I6" s="862">
        <f t="shared" si="1"/>
        <v>5</v>
      </c>
      <c r="J6" s="862">
        <f t="shared" si="2"/>
        <v>1</v>
      </c>
      <c r="K6" s="871">
        <f t="shared" si="3"/>
        <v>47603</v>
      </c>
      <c r="L6" s="873">
        <v>1200000</v>
      </c>
      <c r="M6" s="873"/>
      <c r="N6" s="873"/>
      <c r="O6" s="890">
        <f t="shared" si="4"/>
        <v>1200000</v>
      </c>
      <c r="P6" s="890"/>
      <c r="Q6" s="890"/>
      <c r="R6" s="910" t="s">
        <v>574</v>
      </c>
      <c r="S6" s="910"/>
      <c r="T6" s="918">
        <f t="shared" si="5"/>
        <v>7</v>
      </c>
      <c r="U6" s="920">
        <f>IF(F6="","",IF(F6&lt;$AX$2,LOOKUP(T6,AT2:AT49,AU2:AU49),LOOKUP(T6,AV2:AV49,AW2:AW49)))</f>
        <v>0.14299999999999999</v>
      </c>
      <c r="V6" s="920"/>
      <c r="W6" s="930">
        <f t="shared" si="6"/>
        <v>1</v>
      </c>
      <c r="X6" s="890">
        <f t="shared" si="7"/>
        <v>171600</v>
      </c>
      <c r="Y6" s="890"/>
      <c r="Z6" s="890"/>
      <c r="AA6" s="890"/>
      <c r="AB6" s="931"/>
      <c r="AC6" s="931"/>
      <c r="AD6" s="931"/>
      <c r="AE6" s="890">
        <f t="shared" si="8"/>
        <v>171600</v>
      </c>
      <c r="AF6" s="890"/>
      <c r="AG6" s="933">
        <v>1</v>
      </c>
      <c r="AH6" s="933"/>
      <c r="AI6" s="890">
        <f t="shared" si="9"/>
        <v>171600</v>
      </c>
      <c r="AJ6" s="890"/>
      <c r="AK6" s="890"/>
      <c r="AL6" s="890"/>
      <c r="AM6" s="932">
        <f t="shared" si="10"/>
        <v>914000</v>
      </c>
      <c r="AN6" s="932"/>
      <c r="AO6" s="937">
        <f t="shared" si="11"/>
        <v>1085600</v>
      </c>
      <c r="AP6" s="873">
        <f t="shared" si="12"/>
        <v>0</v>
      </c>
      <c r="AQ6" s="873">
        <f t="shared" si="13"/>
        <v>114400</v>
      </c>
      <c r="AR6" s="946"/>
      <c r="AS6" s="948"/>
      <c r="AT6" s="755">
        <v>5</v>
      </c>
      <c r="AU6" s="757">
        <v>0.2</v>
      </c>
      <c r="AV6" s="755">
        <v>5</v>
      </c>
      <c r="AW6" s="757">
        <v>0.2</v>
      </c>
      <c r="AX6" s="757"/>
    </row>
    <row r="7" spans="1:51" ht="38.25" customHeight="1">
      <c r="A7" s="763"/>
      <c r="B7" s="780"/>
      <c r="C7" s="799"/>
      <c r="D7" s="763"/>
      <c r="E7" s="799"/>
      <c r="F7" s="838"/>
      <c r="G7" s="850"/>
      <c r="H7" s="862">
        <f t="shared" si="0"/>
        <v>1900</v>
      </c>
      <c r="I7" s="862">
        <f t="shared" si="1"/>
        <v>1</v>
      </c>
      <c r="J7" s="862">
        <f t="shared" si="2"/>
        <v>0</v>
      </c>
      <c r="K7" s="871" t="e">
        <f t="shared" si="3"/>
        <v>#VALUE!</v>
      </c>
      <c r="L7" s="873"/>
      <c r="M7" s="873"/>
      <c r="N7" s="873"/>
      <c r="O7" s="890" t="str">
        <f t="shared" si="4"/>
        <v/>
      </c>
      <c r="P7" s="890"/>
      <c r="Q7" s="890"/>
      <c r="R7" s="910" t="s">
        <v>574</v>
      </c>
      <c r="S7" s="910"/>
      <c r="T7" s="918" t="str">
        <f t="shared" si="5"/>
        <v/>
      </c>
      <c r="U7" s="920" t="str">
        <f>IF(F7="","",IF(F7&lt;$AX$2,LOOKUP(T7,AT2:AT49,AU2:AU49),LOOKUP(T7,AV2:AV49,AW2:AW49)))</f>
        <v/>
      </c>
      <c r="V7" s="920"/>
      <c r="W7" s="930">
        <f t="shared" si="6"/>
        <v>0</v>
      </c>
      <c r="X7" s="890" t="str">
        <f t="shared" si="7"/>
        <v/>
      </c>
      <c r="Y7" s="890"/>
      <c r="Z7" s="890"/>
      <c r="AA7" s="890"/>
      <c r="AB7" s="931"/>
      <c r="AC7" s="931"/>
      <c r="AD7" s="931"/>
      <c r="AE7" s="890" t="str">
        <f t="shared" si="8"/>
        <v/>
      </c>
      <c r="AF7" s="890"/>
      <c r="AG7" s="933"/>
      <c r="AH7" s="933"/>
      <c r="AI7" s="890" t="str">
        <f t="shared" si="9"/>
        <v/>
      </c>
      <c r="AJ7" s="890"/>
      <c r="AK7" s="890"/>
      <c r="AL7" s="890"/>
      <c r="AM7" s="932" t="str">
        <f t="shared" si="10"/>
        <v/>
      </c>
      <c r="AN7" s="932"/>
      <c r="AO7" s="937" t="str">
        <f t="shared" si="11"/>
        <v/>
      </c>
      <c r="AP7" s="873" t="e">
        <f t="shared" si="12"/>
        <v>#VALUE!</v>
      </c>
      <c r="AQ7" s="873">
        <f t="shared" si="13"/>
        <v>0</v>
      </c>
      <c r="AR7" s="946"/>
      <c r="AS7" s="948"/>
      <c r="AT7" s="755">
        <v>6</v>
      </c>
      <c r="AU7" s="757">
        <v>0.16600000000000001</v>
      </c>
      <c r="AV7" s="755">
        <v>6</v>
      </c>
      <c r="AW7" s="757">
        <v>0.16700000000000001</v>
      </c>
      <c r="AX7" s="757"/>
    </row>
    <row r="8" spans="1:51" ht="38.25" customHeight="1">
      <c r="A8" s="763"/>
      <c r="B8" s="780"/>
      <c r="C8" s="799"/>
      <c r="D8" s="763"/>
      <c r="E8" s="799"/>
      <c r="F8" s="838"/>
      <c r="G8" s="850"/>
      <c r="H8" s="862">
        <f t="shared" si="0"/>
        <v>1900</v>
      </c>
      <c r="I8" s="862">
        <f t="shared" si="1"/>
        <v>1</v>
      </c>
      <c r="J8" s="862">
        <f t="shared" si="2"/>
        <v>0</v>
      </c>
      <c r="K8" s="871" t="e">
        <f t="shared" si="3"/>
        <v>#VALUE!</v>
      </c>
      <c r="L8" s="873"/>
      <c r="M8" s="873"/>
      <c r="N8" s="873"/>
      <c r="O8" s="890" t="str">
        <f t="shared" si="4"/>
        <v/>
      </c>
      <c r="P8" s="890"/>
      <c r="Q8" s="890"/>
      <c r="R8" s="910" t="s">
        <v>574</v>
      </c>
      <c r="S8" s="910"/>
      <c r="T8" s="918" t="str">
        <f t="shared" si="5"/>
        <v/>
      </c>
      <c r="U8" s="920" t="str">
        <f>IF(F8="","",IF(F8&lt;$AX$2,LOOKUP(T8,AT2:AT49,AU2:AU49),LOOKUP(T8,AV2:AV49,AW2:AW49)))</f>
        <v/>
      </c>
      <c r="V8" s="920"/>
      <c r="W8" s="930">
        <f t="shared" si="6"/>
        <v>0</v>
      </c>
      <c r="X8" s="890" t="str">
        <f t="shared" si="7"/>
        <v/>
      </c>
      <c r="Y8" s="890"/>
      <c r="Z8" s="890"/>
      <c r="AA8" s="890"/>
      <c r="AB8" s="931"/>
      <c r="AC8" s="931"/>
      <c r="AD8" s="931"/>
      <c r="AE8" s="890" t="str">
        <f t="shared" si="8"/>
        <v/>
      </c>
      <c r="AF8" s="890"/>
      <c r="AG8" s="933"/>
      <c r="AH8" s="933"/>
      <c r="AI8" s="890" t="str">
        <f t="shared" si="9"/>
        <v/>
      </c>
      <c r="AJ8" s="890"/>
      <c r="AK8" s="890"/>
      <c r="AL8" s="890"/>
      <c r="AM8" s="932" t="str">
        <f t="shared" si="10"/>
        <v/>
      </c>
      <c r="AN8" s="932"/>
      <c r="AO8" s="937" t="str">
        <f t="shared" si="11"/>
        <v/>
      </c>
      <c r="AP8" s="873" t="e">
        <f t="shared" si="12"/>
        <v>#VALUE!</v>
      </c>
      <c r="AQ8" s="873">
        <f t="shared" si="13"/>
        <v>0</v>
      </c>
      <c r="AR8" s="946"/>
      <c r="AS8" s="948"/>
      <c r="AT8" s="755">
        <v>7</v>
      </c>
      <c r="AU8" s="757">
        <v>0.14199999999999999</v>
      </c>
      <c r="AV8" s="755">
        <v>7</v>
      </c>
      <c r="AW8" s="757">
        <v>0.14299999999999999</v>
      </c>
      <c r="AX8" s="757"/>
    </row>
    <row r="9" spans="1:51" ht="38.25" customHeight="1">
      <c r="A9" s="763"/>
      <c r="B9" s="780"/>
      <c r="C9" s="799"/>
      <c r="D9" s="763"/>
      <c r="E9" s="799"/>
      <c r="F9" s="838"/>
      <c r="G9" s="850"/>
      <c r="H9" s="862">
        <f t="shared" si="0"/>
        <v>1900</v>
      </c>
      <c r="I9" s="862">
        <f t="shared" si="1"/>
        <v>1</v>
      </c>
      <c r="J9" s="862">
        <f t="shared" si="2"/>
        <v>0</v>
      </c>
      <c r="K9" s="871" t="e">
        <f t="shared" si="3"/>
        <v>#VALUE!</v>
      </c>
      <c r="L9" s="873"/>
      <c r="M9" s="873"/>
      <c r="N9" s="873"/>
      <c r="O9" s="890" t="str">
        <f t="shared" si="4"/>
        <v/>
      </c>
      <c r="P9" s="890"/>
      <c r="Q9" s="890"/>
      <c r="R9" s="910" t="s">
        <v>574</v>
      </c>
      <c r="S9" s="910"/>
      <c r="T9" s="918" t="str">
        <f t="shared" si="5"/>
        <v/>
      </c>
      <c r="U9" s="920" t="str">
        <f>IF(F9="","",IF(F9&lt;$AX$2,LOOKUP(T9,AT2:AT49,AU2:AU49),LOOKUP(T9,AV2:AV49,AW2:AW49)))</f>
        <v/>
      </c>
      <c r="V9" s="920"/>
      <c r="W9" s="930">
        <f t="shared" si="6"/>
        <v>0</v>
      </c>
      <c r="X9" s="890" t="str">
        <f t="shared" si="7"/>
        <v/>
      </c>
      <c r="Y9" s="890"/>
      <c r="Z9" s="890"/>
      <c r="AA9" s="890"/>
      <c r="AB9" s="931"/>
      <c r="AC9" s="931"/>
      <c r="AD9" s="931"/>
      <c r="AE9" s="890" t="str">
        <f t="shared" si="8"/>
        <v/>
      </c>
      <c r="AF9" s="890"/>
      <c r="AG9" s="933"/>
      <c r="AH9" s="933"/>
      <c r="AI9" s="890" t="str">
        <f t="shared" si="9"/>
        <v/>
      </c>
      <c r="AJ9" s="890"/>
      <c r="AK9" s="890"/>
      <c r="AL9" s="890"/>
      <c r="AM9" s="932" t="str">
        <f t="shared" si="10"/>
        <v/>
      </c>
      <c r="AN9" s="932"/>
      <c r="AO9" s="937" t="str">
        <f t="shared" si="11"/>
        <v/>
      </c>
      <c r="AP9" s="873" t="e">
        <f t="shared" si="12"/>
        <v>#VALUE!</v>
      </c>
      <c r="AQ9" s="873">
        <f t="shared" si="13"/>
        <v>0</v>
      </c>
      <c r="AR9" s="946"/>
      <c r="AS9" s="948"/>
      <c r="AT9" s="755">
        <v>8</v>
      </c>
      <c r="AU9" s="757">
        <v>0.125</v>
      </c>
      <c r="AV9" s="755">
        <v>8</v>
      </c>
      <c r="AW9" s="757">
        <v>0.125</v>
      </c>
      <c r="AX9" s="757"/>
    </row>
    <row r="10" spans="1:51" ht="38.25" customHeight="1">
      <c r="A10" s="764" t="s">
        <v>581</v>
      </c>
      <c r="B10" s="781"/>
      <c r="C10" s="800"/>
      <c r="D10" s="764"/>
      <c r="E10" s="800"/>
      <c r="F10" s="839"/>
      <c r="G10" s="851"/>
      <c r="H10" s="862">
        <f t="shared" si="0"/>
        <v>1900</v>
      </c>
      <c r="I10" s="862">
        <f t="shared" si="1"/>
        <v>1</v>
      </c>
      <c r="J10" s="862">
        <f t="shared" si="2"/>
        <v>0</v>
      </c>
      <c r="K10" s="871" t="e">
        <f t="shared" si="3"/>
        <v>#VALUE!</v>
      </c>
      <c r="L10" s="873"/>
      <c r="M10" s="873"/>
      <c r="N10" s="873"/>
      <c r="O10" s="890" t="str">
        <f t="shared" si="4"/>
        <v/>
      </c>
      <c r="P10" s="890"/>
      <c r="Q10" s="890"/>
      <c r="R10" s="910" t="s">
        <v>574</v>
      </c>
      <c r="S10" s="910"/>
      <c r="T10" s="918" t="str">
        <f t="shared" si="5"/>
        <v/>
      </c>
      <c r="U10" s="920" t="str">
        <f>IF(F10="","",IF(F10&lt;$AX$2,LOOKUP(T10,AT2:AT49,AU2:AU49),LOOKUP(T10,AV2:AV49,AW2:AW49)))</f>
        <v/>
      </c>
      <c r="V10" s="920"/>
      <c r="W10" s="930">
        <f t="shared" si="6"/>
        <v>0</v>
      </c>
      <c r="X10" s="890" t="str">
        <f t="shared" si="7"/>
        <v/>
      </c>
      <c r="Y10" s="890"/>
      <c r="Z10" s="890"/>
      <c r="AA10" s="890"/>
      <c r="AB10" s="931"/>
      <c r="AC10" s="931"/>
      <c r="AD10" s="931"/>
      <c r="AE10" s="890" t="str">
        <f t="shared" si="8"/>
        <v/>
      </c>
      <c r="AF10" s="890"/>
      <c r="AG10" s="933"/>
      <c r="AH10" s="933"/>
      <c r="AI10" s="890" t="str">
        <f t="shared" si="9"/>
        <v/>
      </c>
      <c r="AJ10" s="890"/>
      <c r="AK10" s="890"/>
      <c r="AL10" s="890"/>
      <c r="AM10" s="932" t="str">
        <f t="shared" si="10"/>
        <v/>
      </c>
      <c r="AN10" s="932"/>
      <c r="AO10" s="937" t="str">
        <f t="shared" si="11"/>
        <v/>
      </c>
      <c r="AP10" s="873" t="e">
        <f t="shared" si="12"/>
        <v>#VALUE!</v>
      </c>
      <c r="AQ10" s="873">
        <f t="shared" si="13"/>
        <v>0</v>
      </c>
      <c r="AR10" s="946"/>
      <c r="AS10" s="948"/>
      <c r="AT10" s="755">
        <v>9</v>
      </c>
      <c r="AU10" s="757">
        <v>0.111</v>
      </c>
      <c r="AV10" s="755">
        <v>9</v>
      </c>
      <c r="AW10" s="757">
        <v>0.112</v>
      </c>
      <c r="AX10" s="757"/>
    </row>
    <row r="11" spans="1:51" ht="38.25" customHeight="1">
      <c r="A11" s="764" t="s">
        <v>581</v>
      </c>
      <c r="B11" s="781"/>
      <c r="C11" s="800"/>
      <c r="D11" s="764"/>
      <c r="E11" s="800"/>
      <c r="F11" s="839"/>
      <c r="G11" s="851"/>
      <c r="H11" s="862">
        <f t="shared" si="0"/>
        <v>1900</v>
      </c>
      <c r="I11" s="862">
        <f t="shared" si="1"/>
        <v>1</v>
      </c>
      <c r="J11" s="862">
        <f t="shared" si="2"/>
        <v>0</v>
      </c>
      <c r="K11" s="871" t="e">
        <f t="shared" si="3"/>
        <v>#VALUE!</v>
      </c>
      <c r="L11" s="873"/>
      <c r="M11" s="873"/>
      <c r="N11" s="873"/>
      <c r="O11" s="890" t="str">
        <f t="shared" si="4"/>
        <v/>
      </c>
      <c r="P11" s="890"/>
      <c r="Q11" s="890"/>
      <c r="R11" s="910" t="s">
        <v>574</v>
      </c>
      <c r="S11" s="910"/>
      <c r="T11" s="918" t="str">
        <f t="shared" si="5"/>
        <v/>
      </c>
      <c r="U11" s="920" t="str">
        <f>IF(F11="","",IF(F11&lt;$AX$2,LOOKUP(T11,AT2:AT49,AU2:AU49),LOOKUP(T11,AV2:AV49,AW2:AW49)))</f>
        <v/>
      </c>
      <c r="V11" s="920"/>
      <c r="W11" s="930">
        <f t="shared" si="6"/>
        <v>0</v>
      </c>
      <c r="X11" s="890" t="str">
        <f t="shared" si="7"/>
        <v/>
      </c>
      <c r="Y11" s="890"/>
      <c r="Z11" s="890"/>
      <c r="AA11" s="890"/>
      <c r="AB11" s="931"/>
      <c r="AC11" s="931"/>
      <c r="AD11" s="931"/>
      <c r="AE11" s="890" t="str">
        <f t="shared" si="8"/>
        <v/>
      </c>
      <c r="AF11" s="890"/>
      <c r="AG11" s="933"/>
      <c r="AH11" s="933"/>
      <c r="AI11" s="890" t="str">
        <f t="shared" si="9"/>
        <v/>
      </c>
      <c r="AJ11" s="890"/>
      <c r="AK11" s="890"/>
      <c r="AL11" s="890"/>
      <c r="AM11" s="932" t="str">
        <f t="shared" si="10"/>
        <v/>
      </c>
      <c r="AN11" s="932"/>
      <c r="AO11" s="937" t="str">
        <f t="shared" si="11"/>
        <v/>
      </c>
      <c r="AP11" s="873" t="e">
        <f t="shared" si="12"/>
        <v>#VALUE!</v>
      </c>
      <c r="AQ11" s="873">
        <f t="shared" si="13"/>
        <v>0</v>
      </c>
      <c r="AR11" s="946"/>
      <c r="AS11" s="948"/>
      <c r="AT11" s="755">
        <v>10</v>
      </c>
      <c r="AU11" s="757">
        <v>0.1</v>
      </c>
      <c r="AV11" s="755">
        <v>10</v>
      </c>
      <c r="AW11" s="757">
        <v>0.1</v>
      </c>
      <c r="AX11" s="757"/>
    </row>
    <row r="12" spans="1:51" ht="38.25" customHeight="1">
      <c r="A12" s="764" t="s">
        <v>581</v>
      </c>
      <c r="B12" s="781"/>
      <c r="C12" s="800"/>
      <c r="D12" s="764"/>
      <c r="E12" s="800"/>
      <c r="F12" s="839"/>
      <c r="G12" s="851"/>
      <c r="H12" s="862">
        <f t="shared" si="0"/>
        <v>1900</v>
      </c>
      <c r="I12" s="862">
        <f t="shared" si="1"/>
        <v>1</v>
      </c>
      <c r="J12" s="862">
        <f t="shared" si="2"/>
        <v>0</v>
      </c>
      <c r="K12" s="871" t="e">
        <f t="shared" si="3"/>
        <v>#VALUE!</v>
      </c>
      <c r="L12" s="873"/>
      <c r="M12" s="873"/>
      <c r="N12" s="873"/>
      <c r="O12" s="890" t="str">
        <f t="shared" si="4"/>
        <v/>
      </c>
      <c r="P12" s="890"/>
      <c r="Q12" s="890"/>
      <c r="R12" s="910" t="s">
        <v>574</v>
      </c>
      <c r="S12" s="910"/>
      <c r="T12" s="918" t="str">
        <f t="shared" si="5"/>
        <v/>
      </c>
      <c r="U12" s="920" t="str">
        <f>IF(F12="","",IF(F12&lt;$AX$2,LOOKUP(T12,AT2:AT49,AU2:AU49),LOOKUP(T12,AV2:AV49,AW2:AW49)))</f>
        <v/>
      </c>
      <c r="V12" s="920"/>
      <c r="W12" s="930">
        <f t="shared" si="6"/>
        <v>0</v>
      </c>
      <c r="X12" s="890" t="str">
        <f t="shared" si="7"/>
        <v/>
      </c>
      <c r="Y12" s="890"/>
      <c r="Z12" s="890"/>
      <c r="AA12" s="890"/>
      <c r="AB12" s="931"/>
      <c r="AC12" s="931"/>
      <c r="AD12" s="931"/>
      <c r="AE12" s="890" t="str">
        <f t="shared" si="8"/>
        <v/>
      </c>
      <c r="AF12" s="890"/>
      <c r="AG12" s="933"/>
      <c r="AH12" s="933"/>
      <c r="AI12" s="890" t="str">
        <f t="shared" si="9"/>
        <v/>
      </c>
      <c r="AJ12" s="890"/>
      <c r="AK12" s="890"/>
      <c r="AL12" s="890"/>
      <c r="AM12" s="932" t="str">
        <f t="shared" si="10"/>
        <v/>
      </c>
      <c r="AN12" s="932"/>
      <c r="AO12" s="937" t="str">
        <f t="shared" si="11"/>
        <v/>
      </c>
      <c r="AP12" s="873" t="e">
        <f t="shared" si="12"/>
        <v>#VALUE!</v>
      </c>
      <c r="AQ12" s="873">
        <f t="shared" si="13"/>
        <v>0</v>
      </c>
      <c r="AR12" s="946"/>
      <c r="AS12" s="948"/>
      <c r="AT12" s="755">
        <v>11</v>
      </c>
      <c r="AU12" s="757">
        <v>9.e-002</v>
      </c>
      <c r="AV12" s="755">
        <v>11</v>
      </c>
      <c r="AW12" s="757">
        <v>9.0999999999999998e-002</v>
      </c>
      <c r="AX12" s="757"/>
    </row>
    <row r="13" spans="1:51" ht="38.25" customHeight="1">
      <c r="A13" s="765" t="s">
        <v>216</v>
      </c>
      <c r="B13" s="782"/>
      <c r="C13" s="801"/>
      <c r="D13" s="819"/>
      <c r="E13" s="834"/>
      <c r="F13" s="834"/>
      <c r="G13" s="852"/>
      <c r="H13" s="863"/>
      <c r="I13" s="863"/>
      <c r="J13" s="863"/>
      <c r="K13" s="863"/>
      <c r="L13" s="874"/>
      <c r="M13" s="874"/>
      <c r="N13" s="874"/>
      <c r="O13" s="874"/>
      <c r="P13" s="874"/>
      <c r="Q13" s="874"/>
      <c r="R13" s="874"/>
      <c r="S13" s="874"/>
      <c r="T13" s="919"/>
      <c r="U13" s="874"/>
      <c r="V13" s="874"/>
      <c r="W13" s="919"/>
      <c r="X13" s="890">
        <f>SUM(X5:AA12)</f>
        <v>210441</v>
      </c>
      <c r="Y13" s="890"/>
      <c r="Z13" s="890"/>
      <c r="AA13" s="890"/>
      <c r="AB13" s="932">
        <f>SUM(AB5:AD12)</f>
        <v>0</v>
      </c>
      <c r="AC13" s="932"/>
      <c r="AD13" s="932"/>
      <c r="AE13" s="890">
        <f>SUM(AE5:AF12)</f>
        <v>210441</v>
      </c>
      <c r="AF13" s="890"/>
      <c r="AG13" s="874"/>
      <c r="AH13" s="874"/>
      <c r="AI13" s="890">
        <f>SUM(AI5:AL12)</f>
        <v>210441</v>
      </c>
      <c r="AJ13" s="890"/>
      <c r="AK13" s="890"/>
      <c r="AL13" s="890"/>
      <c r="AM13" s="932">
        <f>IF(AI13&gt;AO13,1,IF(AO13="",O13-AI13,AO13-AI13))</f>
        <v>875159</v>
      </c>
      <c r="AN13" s="932"/>
      <c r="AO13" s="938">
        <f>SUM(AO5:AO12)</f>
        <v>1085600</v>
      </c>
      <c r="AP13" s="941"/>
      <c r="AQ13" s="941"/>
      <c r="AR13" s="946"/>
      <c r="AS13" s="948"/>
      <c r="AT13" s="755">
        <v>12</v>
      </c>
      <c r="AU13" s="757">
        <v>8.3000000000000004e-002</v>
      </c>
      <c r="AV13" s="755">
        <v>12</v>
      </c>
      <c r="AW13" s="757">
        <v>8.4000000000000005e-002</v>
      </c>
      <c r="AX13" s="757"/>
    </row>
    <row r="14" spans="1:51" s="758" customFormat="1" ht="24" customHeight="1">
      <c r="A14" s="766"/>
      <c r="B14" s="783" t="str">
        <f>IF(F65=1,"按分率OK！","按分率が正しくありません")</f>
        <v>按分率OK！</v>
      </c>
      <c r="C14" s="802"/>
      <c r="D14" s="802"/>
      <c r="E14" s="802"/>
      <c r="F14" s="840"/>
      <c r="G14" s="783" t="str">
        <f>IF(M17=0,"端数調整OK！","端数を配分してください")</f>
        <v>端数を配分してください</v>
      </c>
      <c r="H14" s="802"/>
      <c r="I14" s="802"/>
      <c r="J14" s="802"/>
      <c r="K14" s="802"/>
      <c r="L14" s="802"/>
      <c r="M14" s="802"/>
      <c r="N14" s="802"/>
      <c r="O14" s="802"/>
      <c r="P14" s="840"/>
      <c r="Q14" s="766"/>
      <c r="R14" s="766"/>
      <c r="S14" s="766"/>
      <c r="T14" s="766"/>
      <c r="U14" s="766"/>
      <c r="V14" s="766"/>
      <c r="AO14" s="939"/>
      <c r="AP14" s="939"/>
      <c r="AQ14" s="939"/>
      <c r="AT14" s="755">
        <v>13</v>
      </c>
      <c r="AU14" s="757">
        <v>7.5999999999999998e-002</v>
      </c>
      <c r="AV14" s="755">
        <v>13</v>
      </c>
      <c r="AW14" s="757">
        <v>7.6999999999999999e-002</v>
      </c>
      <c r="AY14" s="757"/>
    </row>
    <row r="15" spans="1:51" ht="40.5" customHeight="1">
      <c r="A15" s="767" t="s">
        <v>69</v>
      </c>
      <c r="B15" s="767"/>
      <c r="C15" s="767"/>
      <c r="D15" s="767"/>
      <c r="E15" s="767"/>
      <c r="F15" s="767"/>
      <c r="G15" s="767"/>
      <c r="H15" s="767"/>
      <c r="I15" s="767"/>
      <c r="J15" s="767"/>
      <c r="K15" s="767"/>
      <c r="L15" s="767"/>
      <c r="M15" s="878"/>
      <c r="N15" s="878"/>
      <c r="O15" s="878"/>
      <c r="P15" s="878"/>
      <c r="Q15" s="878"/>
      <c r="R15" s="878"/>
      <c r="S15" s="878"/>
      <c r="T15" s="878"/>
      <c r="U15" s="878"/>
      <c r="V15" s="927"/>
      <c r="AT15" s="755">
        <v>14</v>
      </c>
      <c r="AU15" s="757">
        <v>7.0999999999999994e-002</v>
      </c>
      <c r="AV15" s="755">
        <v>14</v>
      </c>
      <c r="AW15" s="757">
        <v>7.1999999999999995e-002</v>
      </c>
      <c r="AY15" s="757"/>
    </row>
    <row r="16" spans="1:51" s="759" customFormat="1" ht="24" customHeight="1">
      <c r="A16" s="768"/>
      <c r="B16" s="784" t="s">
        <v>114</v>
      </c>
      <c r="C16" s="803" t="s">
        <v>172</v>
      </c>
      <c r="D16" s="820"/>
      <c r="E16" s="820"/>
      <c r="F16" s="841"/>
      <c r="G16" s="853" t="s">
        <v>401</v>
      </c>
      <c r="H16" s="864"/>
      <c r="I16" s="864"/>
      <c r="J16" s="864"/>
      <c r="K16" s="864"/>
      <c r="L16" s="864"/>
      <c r="M16" s="864"/>
      <c r="N16" s="864"/>
      <c r="O16" s="864"/>
      <c r="P16" s="896"/>
      <c r="Q16" s="902" t="s">
        <v>396</v>
      </c>
      <c r="R16" s="864"/>
      <c r="S16" s="864"/>
      <c r="T16" s="864"/>
      <c r="U16" s="896"/>
      <c r="V16" s="928"/>
      <c r="W16" s="759"/>
      <c r="X16" s="759"/>
      <c r="Y16" s="759"/>
      <c r="Z16" s="759"/>
      <c r="AA16" s="759"/>
      <c r="AB16" s="759"/>
      <c r="AC16" s="759"/>
      <c r="AD16" s="759"/>
      <c r="AE16" s="759"/>
      <c r="AF16" s="759"/>
      <c r="AG16" s="759"/>
      <c r="AH16" s="759"/>
      <c r="AI16" s="759"/>
      <c r="AJ16" s="759"/>
      <c r="AK16" s="759"/>
      <c r="AL16" s="759"/>
      <c r="AM16" s="759"/>
      <c r="AN16" s="759"/>
      <c r="AO16" s="940"/>
      <c r="AP16" s="942" t="e">
        <f>O8-AP8-AQ8</f>
        <v>#VALUE!</v>
      </c>
      <c r="AQ16" s="940"/>
      <c r="AR16" s="759"/>
      <c r="AS16" s="759"/>
      <c r="AT16" s="755">
        <v>15</v>
      </c>
      <c r="AU16" s="757">
        <v>6.6000000000000003e-002</v>
      </c>
      <c r="AV16" s="755">
        <v>15</v>
      </c>
      <c r="AW16" s="757">
        <v>6.7000000000000004e-002</v>
      </c>
      <c r="AX16" s="759"/>
      <c r="AY16" s="757"/>
    </row>
    <row r="17" spans="1:51" s="759" customFormat="1" ht="24" customHeight="1">
      <c r="A17" s="769"/>
      <c r="B17" s="785"/>
      <c r="C17" s="804" t="s">
        <v>179</v>
      </c>
      <c r="D17" s="821" t="s">
        <v>174</v>
      </c>
      <c r="E17" s="835" t="s">
        <v>181</v>
      </c>
      <c r="F17" s="842"/>
      <c r="G17" s="854"/>
      <c r="H17" s="865"/>
      <c r="I17" s="865"/>
      <c r="J17" s="865"/>
      <c r="K17" s="865"/>
      <c r="L17" s="875" t="s">
        <v>220</v>
      </c>
      <c r="M17" s="879">
        <f>Q65-AI13</f>
        <v>-6</v>
      </c>
      <c r="N17" s="884"/>
      <c r="O17" s="891" t="s">
        <v>398</v>
      </c>
      <c r="P17" s="897"/>
      <c r="Q17" s="903"/>
      <c r="R17" s="865"/>
      <c r="S17" s="865"/>
      <c r="T17" s="865"/>
      <c r="U17" s="921"/>
      <c r="V17" s="928"/>
      <c r="W17" s="759"/>
      <c r="X17" s="759"/>
      <c r="Y17" s="759"/>
      <c r="Z17" s="759"/>
      <c r="AA17" s="759"/>
      <c r="AB17" s="759"/>
      <c r="AC17" s="759"/>
      <c r="AD17" s="759"/>
      <c r="AE17" s="759"/>
      <c r="AF17" s="759"/>
      <c r="AG17" s="759"/>
      <c r="AH17" s="759"/>
      <c r="AI17" s="759"/>
      <c r="AJ17" s="759"/>
      <c r="AK17" s="759"/>
      <c r="AL17" s="759"/>
      <c r="AM17" s="759"/>
      <c r="AN17" s="759"/>
      <c r="AO17" s="940"/>
      <c r="AP17" s="940"/>
      <c r="AQ17" s="940"/>
      <c r="AR17" s="759"/>
      <c r="AS17" s="759"/>
      <c r="AT17" s="755">
        <v>16</v>
      </c>
      <c r="AU17" s="757">
        <v>6.2e-002</v>
      </c>
      <c r="AV17" s="755">
        <v>16</v>
      </c>
      <c r="AW17" s="757">
        <v>6.3e-002</v>
      </c>
      <c r="AX17" s="759"/>
      <c r="AY17" s="757"/>
    </row>
    <row r="18" spans="1:51" s="759" customFormat="1" ht="24" customHeight="1">
      <c r="A18" s="770"/>
      <c r="B18" s="786"/>
      <c r="C18" s="805"/>
      <c r="D18" s="822"/>
      <c r="E18" s="836"/>
      <c r="F18" s="843"/>
      <c r="G18" s="855"/>
      <c r="H18" s="822"/>
      <c r="I18" s="822"/>
      <c r="J18" s="822"/>
      <c r="K18" s="822"/>
      <c r="L18" s="876"/>
      <c r="M18" s="880"/>
      <c r="N18" s="885"/>
      <c r="O18" s="892"/>
      <c r="P18" s="898"/>
      <c r="Q18" s="904"/>
      <c r="R18" s="822"/>
      <c r="S18" s="822"/>
      <c r="T18" s="822"/>
      <c r="U18" s="922"/>
      <c r="V18" s="928"/>
      <c r="W18" s="759"/>
      <c r="X18" s="759"/>
      <c r="Y18" s="759"/>
      <c r="Z18" s="759"/>
      <c r="AA18" s="759"/>
      <c r="AB18" s="759"/>
      <c r="AC18" s="759"/>
      <c r="AD18" s="759"/>
      <c r="AE18" s="759"/>
      <c r="AF18" s="759"/>
      <c r="AG18" s="759"/>
      <c r="AH18" s="759"/>
      <c r="AI18" s="759"/>
      <c r="AJ18" s="759"/>
      <c r="AK18" s="759"/>
      <c r="AL18" s="759"/>
      <c r="AM18" s="759"/>
      <c r="AN18" s="759"/>
      <c r="AO18" s="940"/>
      <c r="AP18" s="940"/>
      <c r="AQ18" s="940"/>
      <c r="AR18" s="759"/>
      <c r="AS18" s="759"/>
      <c r="AT18" s="755">
        <v>17</v>
      </c>
      <c r="AU18" s="757">
        <v>5.8000000000000003e-002</v>
      </c>
      <c r="AV18" s="755">
        <v>17</v>
      </c>
      <c r="AW18" s="757">
        <v>5.8999999999999997e-002</v>
      </c>
      <c r="AX18" s="759"/>
      <c r="AY18" s="757"/>
    </row>
    <row r="19" spans="1:51" ht="24" customHeight="1">
      <c r="A19" s="771">
        <v>1</v>
      </c>
      <c r="B19" s="787" t="str">
        <f>IF('1.入力表'!D19=0,"　",'1.入力表'!D19)</f>
        <v>十神　どじょ夫</v>
      </c>
      <c r="C19" s="806">
        <v>1</v>
      </c>
      <c r="D19" s="823" t="s">
        <v>174</v>
      </c>
      <c r="E19" s="808">
        <v>10</v>
      </c>
      <c r="F19" s="844">
        <f t="shared" ref="F19:F46" si="14">IF(ISBLANK(E19)," ",ROUND(C19/E19,3))</f>
        <v>0.1</v>
      </c>
      <c r="G19" s="856">
        <f t="shared" ref="G19:G64" si="15">IF(ISBLANK(E19)," ",ROUND($AI$13*C19/E19,0))</f>
        <v>21044</v>
      </c>
      <c r="H19" s="866"/>
      <c r="I19" s="866"/>
      <c r="J19" s="866"/>
      <c r="K19" s="866"/>
      <c r="L19" s="866"/>
      <c r="M19" s="881"/>
      <c r="N19" s="886"/>
      <c r="O19" s="893">
        <v>-5</v>
      </c>
      <c r="P19" s="899"/>
      <c r="Q19" s="905">
        <f>IF(ISBLANK('1.入力表'!D19),"",IF(ISBLANK(E19),0,G19+O19))</f>
        <v>21039</v>
      </c>
      <c r="R19" s="911"/>
      <c r="S19" s="911"/>
      <c r="T19" s="911"/>
      <c r="U19" s="923"/>
      <c r="V19" s="927"/>
      <c r="AT19" s="755">
        <v>18</v>
      </c>
      <c r="AU19" s="757">
        <v>5.5e-002</v>
      </c>
      <c r="AV19" s="755">
        <v>18</v>
      </c>
      <c r="AW19" s="757">
        <v>5.6000000000000001e-002</v>
      </c>
      <c r="AY19" s="757"/>
    </row>
    <row r="20" spans="1:51" ht="24" customHeight="1">
      <c r="A20" s="772">
        <v>2</v>
      </c>
      <c r="B20" s="788" t="str">
        <f>IF('1.入力表'!D20=0,"　",'1.入力表'!D20)</f>
        <v>社日　さくら</v>
      </c>
      <c r="C20" s="806">
        <v>1</v>
      </c>
      <c r="D20" s="824" t="s">
        <v>174</v>
      </c>
      <c r="E20" s="808">
        <v>10</v>
      </c>
      <c r="F20" s="845">
        <f t="shared" si="14"/>
        <v>0.1</v>
      </c>
      <c r="G20" s="856">
        <f t="shared" si="15"/>
        <v>21044</v>
      </c>
      <c r="H20" s="866"/>
      <c r="I20" s="866"/>
      <c r="J20" s="866"/>
      <c r="K20" s="866"/>
      <c r="L20" s="866"/>
      <c r="M20" s="882"/>
      <c r="N20" s="887"/>
      <c r="O20" s="893"/>
      <c r="P20" s="899"/>
      <c r="Q20" s="905">
        <f>IF(ISBLANK('1.入力表'!D20),"",IF(ISBLANK(E20),0,G20+O20))</f>
        <v>21044</v>
      </c>
      <c r="R20" s="911"/>
      <c r="S20" s="911"/>
      <c r="T20" s="911"/>
      <c r="U20" s="923"/>
      <c r="V20" s="927"/>
      <c r="AT20" s="755">
        <v>19</v>
      </c>
      <c r="AU20" s="757">
        <v>5.1999999999999998e-002</v>
      </c>
      <c r="AV20" s="755">
        <v>19</v>
      </c>
      <c r="AW20" s="757">
        <v>5.2999999999999999e-002</v>
      </c>
      <c r="AY20" s="757"/>
    </row>
    <row r="21" spans="1:51" ht="24" customHeight="1">
      <c r="A21" s="772">
        <v>3</v>
      </c>
      <c r="B21" s="788" t="str">
        <f>IF('1.入力表'!D21=0,"　",'1.入力表'!D21)</f>
        <v>尼子　経久</v>
      </c>
      <c r="C21" s="806">
        <v>0</v>
      </c>
      <c r="D21" s="824" t="s">
        <v>174</v>
      </c>
      <c r="E21" s="808">
        <v>10</v>
      </c>
      <c r="F21" s="845">
        <f t="shared" si="14"/>
        <v>0</v>
      </c>
      <c r="G21" s="856">
        <f t="shared" si="15"/>
        <v>0</v>
      </c>
      <c r="H21" s="866"/>
      <c r="I21" s="866"/>
      <c r="J21" s="866"/>
      <c r="K21" s="866"/>
      <c r="L21" s="866"/>
      <c r="M21" s="882"/>
      <c r="N21" s="887"/>
      <c r="O21" s="893"/>
      <c r="P21" s="899"/>
      <c r="Q21" s="905">
        <f>IF(ISBLANK('1.入力表'!D21),"",IF(ISBLANK(E21),0,G21+O21))</f>
        <v>0</v>
      </c>
      <c r="R21" s="911"/>
      <c r="S21" s="911"/>
      <c r="T21" s="911"/>
      <c r="U21" s="923"/>
      <c r="V21" s="927"/>
      <c r="AT21" s="755">
        <v>19</v>
      </c>
      <c r="AU21" s="757">
        <v>5.1999999999999998e-002</v>
      </c>
      <c r="AV21" s="755">
        <v>19</v>
      </c>
      <c r="AW21" s="757">
        <v>5.2999999999999999e-002</v>
      </c>
      <c r="AY21" s="757"/>
    </row>
    <row r="22" spans="1:51" ht="24" customHeight="1">
      <c r="A22" s="772">
        <v>4</v>
      </c>
      <c r="B22" s="788" t="str">
        <f>IF('1.入力表'!D22=0,"　",'1.入力表'!D22)</f>
        <v>尼子　晴久</v>
      </c>
      <c r="C22" s="806">
        <v>1</v>
      </c>
      <c r="D22" s="824" t="s">
        <v>174</v>
      </c>
      <c r="E22" s="808">
        <v>10</v>
      </c>
      <c r="F22" s="845">
        <f t="shared" si="14"/>
        <v>0.1</v>
      </c>
      <c r="G22" s="856">
        <f t="shared" si="15"/>
        <v>21044</v>
      </c>
      <c r="H22" s="866"/>
      <c r="I22" s="866"/>
      <c r="J22" s="866"/>
      <c r="K22" s="866"/>
      <c r="L22" s="866"/>
      <c r="M22" s="882"/>
      <c r="N22" s="887"/>
      <c r="O22" s="893"/>
      <c r="P22" s="899"/>
      <c r="Q22" s="905">
        <f>IF(ISBLANK('1.入力表'!D22),"",IF(ISBLANK(E22),0,G22+O22))</f>
        <v>21044</v>
      </c>
      <c r="R22" s="911"/>
      <c r="S22" s="911"/>
      <c r="T22" s="911"/>
      <c r="U22" s="923"/>
      <c r="V22" s="927"/>
      <c r="AT22" s="755">
        <v>20</v>
      </c>
      <c r="AU22" s="757">
        <v>5.e-002</v>
      </c>
      <c r="AV22" s="755">
        <v>20</v>
      </c>
      <c r="AW22" s="757">
        <v>5.e-002</v>
      </c>
      <c r="AY22" s="757"/>
    </row>
    <row r="23" spans="1:51" ht="24" customHeight="1">
      <c r="A23" s="772">
        <v>5</v>
      </c>
      <c r="B23" s="788" t="str">
        <f>IF('1.入力表'!D23=0,"　",'1.入力表'!D23)</f>
        <v>比婆山　茶太郎</v>
      </c>
      <c r="C23" s="806">
        <v>1</v>
      </c>
      <c r="D23" s="824" t="s">
        <v>174</v>
      </c>
      <c r="E23" s="808">
        <v>10</v>
      </c>
      <c r="F23" s="845">
        <f t="shared" si="14"/>
        <v>0.1</v>
      </c>
      <c r="G23" s="856">
        <f t="shared" si="15"/>
        <v>21044</v>
      </c>
      <c r="H23" s="866"/>
      <c r="I23" s="866"/>
      <c r="J23" s="866"/>
      <c r="K23" s="866"/>
      <c r="L23" s="866"/>
      <c r="M23" s="882"/>
      <c r="N23" s="887"/>
      <c r="O23" s="893"/>
      <c r="P23" s="899"/>
      <c r="Q23" s="905">
        <f>IF(ISBLANK('1.入力表'!D23),"",IF(ISBLANK(E23),0,G23+O23))</f>
        <v>21044</v>
      </c>
      <c r="R23" s="911"/>
      <c r="S23" s="911"/>
      <c r="T23" s="911"/>
      <c r="U23" s="923"/>
      <c r="V23" s="927"/>
      <c r="AT23" s="755">
        <v>21</v>
      </c>
      <c r="AU23" s="757">
        <v>4.8000000000000001e-002</v>
      </c>
      <c r="AV23" s="755">
        <v>21</v>
      </c>
      <c r="AW23" s="757">
        <v>4.8000000000000001e-002</v>
      </c>
      <c r="AY23" s="757"/>
    </row>
    <row r="24" spans="1:51" ht="24" customHeight="1">
      <c r="A24" s="772">
        <v>6</v>
      </c>
      <c r="B24" s="788" t="str">
        <f>IF('1.入力表'!D24=0,"　",'1.入力表'!D24)</f>
        <v>広瀬　二郎</v>
      </c>
      <c r="C24" s="806">
        <v>1</v>
      </c>
      <c r="D24" s="824" t="s">
        <v>174</v>
      </c>
      <c r="E24" s="808">
        <v>10</v>
      </c>
      <c r="F24" s="845">
        <f t="shared" si="14"/>
        <v>0.1</v>
      </c>
      <c r="G24" s="856">
        <f t="shared" si="15"/>
        <v>21044</v>
      </c>
      <c r="H24" s="866"/>
      <c r="I24" s="866"/>
      <c r="J24" s="866"/>
      <c r="K24" s="866"/>
      <c r="L24" s="866"/>
      <c r="M24" s="882"/>
      <c r="N24" s="887"/>
      <c r="O24" s="893"/>
      <c r="P24" s="899"/>
      <c r="Q24" s="905">
        <f>IF(ISBLANK('1.入力表'!D24),"",IF(ISBLANK(E24),0,G24+O24))</f>
        <v>21044</v>
      </c>
      <c r="R24" s="911"/>
      <c r="S24" s="911"/>
      <c r="T24" s="911"/>
      <c r="U24" s="923"/>
      <c r="V24" s="927"/>
      <c r="AT24" s="755">
        <v>22</v>
      </c>
      <c r="AU24" s="757">
        <v>4.5999999999999999e-002</v>
      </c>
      <c r="AV24" s="755">
        <v>22</v>
      </c>
      <c r="AW24" s="757">
        <v>4.5999999999999999e-002</v>
      </c>
      <c r="AY24" s="757"/>
    </row>
    <row r="25" spans="1:51" ht="24" customHeight="1">
      <c r="A25" s="772">
        <v>7</v>
      </c>
      <c r="B25" s="788" t="str">
        <f>IF('1.入力表'!D25=0,"　",'1.入力表'!D25)</f>
        <v>月山　かすり</v>
      </c>
      <c r="C25" s="806">
        <v>1</v>
      </c>
      <c r="D25" s="824" t="s">
        <v>174</v>
      </c>
      <c r="E25" s="808">
        <v>10</v>
      </c>
      <c r="F25" s="845">
        <f t="shared" si="14"/>
        <v>0.1</v>
      </c>
      <c r="G25" s="856">
        <f t="shared" si="15"/>
        <v>21044</v>
      </c>
      <c r="H25" s="866"/>
      <c r="I25" s="866"/>
      <c r="J25" s="866"/>
      <c r="K25" s="866"/>
      <c r="L25" s="866"/>
      <c r="M25" s="882"/>
      <c r="N25" s="887"/>
      <c r="O25" s="893"/>
      <c r="P25" s="899"/>
      <c r="Q25" s="905">
        <f>IF(ISBLANK('1.入力表'!D25),"",IF(ISBLANK(E25),0,G25+O25))</f>
        <v>21044</v>
      </c>
      <c r="R25" s="911"/>
      <c r="S25" s="911"/>
      <c r="T25" s="911"/>
      <c r="U25" s="923"/>
      <c r="V25" s="927"/>
      <c r="AT25" s="755">
        <v>23</v>
      </c>
      <c r="AU25" s="757">
        <v>4.3999999999999997e-002</v>
      </c>
      <c r="AV25" s="755">
        <v>23</v>
      </c>
      <c r="AW25" s="757">
        <v>4.3999999999999997e-002</v>
      </c>
      <c r="AY25" s="757"/>
    </row>
    <row r="26" spans="1:51" ht="24" customHeight="1">
      <c r="A26" s="772">
        <v>8</v>
      </c>
      <c r="B26" s="788" t="str">
        <f>IF('1.入力表'!D26=0,"　",'1.入力表'!D26)</f>
        <v>富田　城</v>
      </c>
      <c r="C26" s="806">
        <v>1</v>
      </c>
      <c r="D26" s="824" t="s">
        <v>174</v>
      </c>
      <c r="E26" s="808">
        <v>10</v>
      </c>
      <c r="F26" s="845">
        <f t="shared" si="14"/>
        <v>0.1</v>
      </c>
      <c r="G26" s="856">
        <f t="shared" si="15"/>
        <v>21044</v>
      </c>
      <c r="H26" s="866"/>
      <c r="I26" s="866"/>
      <c r="J26" s="866"/>
      <c r="K26" s="866"/>
      <c r="L26" s="866"/>
      <c r="M26" s="882"/>
      <c r="N26" s="887"/>
      <c r="O26" s="893"/>
      <c r="P26" s="899"/>
      <c r="Q26" s="905">
        <f>IF(ISBLANK('1.入力表'!D26),"",IF(ISBLANK(E26),0,G26+O26))</f>
        <v>21044</v>
      </c>
      <c r="R26" s="911"/>
      <c r="S26" s="911"/>
      <c r="T26" s="911"/>
      <c r="U26" s="923"/>
      <c r="V26" s="927"/>
      <c r="AT26" s="755">
        <v>24</v>
      </c>
      <c r="AU26" s="757">
        <v>4.2000000000000003e-002</v>
      </c>
      <c r="AV26" s="755">
        <v>24</v>
      </c>
      <c r="AW26" s="757">
        <v>4.2000000000000003e-002</v>
      </c>
      <c r="AY26" s="757"/>
    </row>
    <row r="27" spans="1:51" ht="24" customHeight="1">
      <c r="A27" s="772">
        <v>9</v>
      </c>
      <c r="B27" s="788" t="str">
        <f>IF('1.入力表'!D27=0,"　",'1.入力表'!D27)</f>
        <v>山中　鹿介</v>
      </c>
      <c r="C27" s="806">
        <v>1</v>
      </c>
      <c r="D27" s="824" t="s">
        <v>174</v>
      </c>
      <c r="E27" s="808">
        <v>10</v>
      </c>
      <c r="F27" s="845">
        <f t="shared" si="14"/>
        <v>0.1</v>
      </c>
      <c r="G27" s="856">
        <f t="shared" si="15"/>
        <v>21044</v>
      </c>
      <c r="H27" s="866"/>
      <c r="I27" s="866"/>
      <c r="J27" s="866"/>
      <c r="K27" s="866"/>
      <c r="L27" s="866"/>
      <c r="M27" s="882"/>
      <c r="N27" s="887"/>
      <c r="O27" s="893"/>
      <c r="P27" s="899"/>
      <c r="Q27" s="905">
        <f>IF(ISBLANK('1.入力表'!D27),"",IF(ISBLANK(E27),0,G27+O27))</f>
        <v>21044</v>
      </c>
      <c r="R27" s="911"/>
      <c r="S27" s="911"/>
      <c r="T27" s="911"/>
      <c r="U27" s="923"/>
      <c r="V27" s="927"/>
      <c r="AT27" s="755">
        <v>25</v>
      </c>
      <c r="AU27" s="757">
        <v>4.e-002</v>
      </c>
      <c r="AV27" s="755">
        <v>25</v>
      </c>
      <c r="AW27" s="757">
        <v>4.e-002</v>
      </c>
      <c r="AY27" s="757"/>
    </row>
    <row r="28" spans="1:51" ht="24" customHeight="1">
      <c r="A28" s="772">
        <v>10</v>
      </c>
      <c r="B28" s="788" t="str">
        <f>IF('1.入力表'!D28=0,"　",'1.入力表'!D28)</f>
        <v>安来　一郎</v>
      </c>
      <c r="C28" s="806">
        <v>1</v>
      </c>
      <c r="D28" s="824" t="s">
        <v>174</v>
      </c>
      <c r="E28" s="808">
        <v>10</v>
      </c>
      <c r="F28" s="845">
        <f t="shared" si="14"/>
        <v>0.1</v>
      </c>
      <c r="G28" s="856">
        <f t="shared" si="15"/>
        <v>21044</v>
      </c>
      <c r="H28" s="866"/>
      <c r="I28" s="866"/>
      <c r="J28" s="866"/>
      <c r="K28" s="866"/>
      <c r="L28" s="866"/>
      <c r="M28" s="882"/>
      <c r="N28" s="887"/>
      <c r="O28" s="893"/>
      <c r="P28" s="899"/>
      <c r="Q28" s="905">
        <f>IF(ISBLANK('1.入力表'!D28),"",IF(ISBLANK(E28),0,G28+O28))</f>
        <v>21044</v>
      </c>
      <c r="R28" s="911"/>
      <c r="S28" s="911"/>
      <c r="T28" s="911"/>
      <c r="U28" s="923"/>
      <c r="V28" s="927"/>
      <c r="AT28" s="755">
        <v>26</v>
      </c>
      <c r="AU28" s="757">
        <v>3.9e-002</v>
      </c>
      <c r="AV28" s="755">
        <v>26</v>
      </c>
      <c r="AW28" s="757">
        <v>3.9e-002</v>
      </c>
      <c r="AY28" s="757"/>
    </row>
    <row r="29" spans="1:51" ht="24" customHeight="1">
      <c r="A29" s="772">
        <v>11</v>
      </c>
      <c r="B29" s="788" t="str">
        <f>IF('1.入力表'!D29=0,"　",'1.入力表'!D29)</f>
        <v>伯太　三郎</v>
      </c>
      <c r="C29" s="807">
        <v>1</v>
      </c>
      <c r="D29" s="824" t="s">
        <v>174</v>
      </c>
      <c r="E29" s="809">
        <v>10</v>
      </c>
      <c r="F29" s="845">
        <f t="shared" si="14"/>
        <v>0.1</v>
      </c>
      <c r="G29" s="856">
        <f t="shared" si="15"/>
        <v>21044</v>
      </c>
      <c r="H29" s="866"/>
      <c r="I29" s="866"/>
      <c r="J29" s="866"/>
      <c r="K29" s="866"/>
      <c r="L29" s="866"/>
      <c r="M29" s="882"/>
      <c r="N29" s="887"/>
      <c r="O29" s="893"/>
      <c r="P29" s="899"/>
      <c r="Q29" s="905">
        <f>IF(ISBLANK('1.入力表'!D29),"",IF(ISBLANK(E29),0,G29+O29))</f>
        <v>21044</v>
      </c>
      <c r="R29" s="911"/>
      <c r="S29" s="911"/>
      <c r="T29" s="911"/>
      <c r="U29" s="923"/>
      <c r="V29" s="927"/>
      <c r="AT29" s="755">
        <v>27</v>
      </c>
      <c r="AU29" s="757">
        <v>3.6999999999999998e-002</v>
      </c>
      <c r="AV29" s="755">
        <v>27</v>
      </c>
      <c r="AW29" s="757">
        <v>3.7999999999999999e-002</v>
      </c>
      <c r="AY29" s="757"/>
    </row>
    <row r="30" spans="1:51" ht="24" customHeight="1">
      <c r="A30" s="772">
        <v>12</v>
      </c>
      <c r="B30" s="788" t="str">
        <f>IF('1.入力表'!D30=0,"　",'1.入力表'!D30)</f>
        <v>　</v>
      </c>
      <c r="C30" s="808"/>
      <c r="D30" s="825" t="s">
        <v>174</v>
      </c>
      <c r="E30" s="808"/>
      <c r="F30" s="845" t="str">
        <f t="shared" si="14"/>
        <v xml:space="preserve"> </v>
      </c>
      <c r="G30" s="856" t="str">
        <f t="shared" si="15"/>
        <v xml:space="preserve"> </v>
      </c>
      <c r="H30" s="866"/>
      <c r="I30" s="866"/>
      <c r="J30" s="866"/>
      <c r="K30" s="866"/>
      <c r="L30" s="866"/>
      <c r="M30" s="882"/>
      <c r="N30" s="887"/>
      <c r="O30" s="893"/>
      <c r="P30" s="899"/>
      <c r="Q30" s="905" t="str">
        <f>IF(ISBLANK('1.入力表'!D30),"",IF(ISBLANK(E30),0,G30+O30))</f>
        <v/>
      </c>
      <c r="R30" s="911"/>
      <c r="S30" s="911"/>
      <c r="T30" s="911"/>
      <c r="U30" s="923"/>
      <c r="V30" s="927"/>
      <c r="AT30" s="755">
        <v>28</v>
      </c>
      <c r="AU30" s="757">
        <v>3.5999999999999997e-002</v>
      </c>
      <c r="AV30" s="755">
        <v>28</v>
      </c>
      <c r="AW30" s="757">
        <v>3.5999999999999997e-002</v>
      </c>
      <c r="AY30" s="757"/>
    </row>
    <row r="31" spans="1:51" ht="24" customHeight="1">
      <c r="A31" s="772">
        <v>13</v>
      </c>
      <c r="B31" s="788" t="str">
        <f>IF('1.入力表'!D31=0,"　",'1.入力表'!D31)</f>
        <v>　</v>
      </c>
      <c r="C31" s="808"/>
      <c r="D31" s="825" t="s">
        <v>174</v>
      </c>
      <c r="E31" s="808"/>
      <c r="F31" s="845" t="str">
        <f t="shared" si="14"/>
        <v xml:space="preserve"> </v>
      </c>
      <c r="G31" s="856" t="str">
        <f t="shared" si="15"/>
        <v xml:space="preserve"> </v>
      </c>
      <c r="H31" s="866"/>
      <c r="I31" s="866"/>
      <c r="J31" s="866"/>
      <c r="K31" s="866"/>
      <c r="L31" s="866"/>
      <c r="M31" s="882"/>
      <c r="N31" s="887"/>
      <c r="O31" s="893"/>
      <c r="P31" s="899"/>
      <c r="Q31" s="905" t="str">
        <f>IF(ISBLANK('1.入力表'!D31),"",IF(ISBLANK(E31),0,G31+O31))</f>
        <v/>
      </c>
      <c r="R31" s="911"/>
      <c r="S31" s="911"/>
      <c r="T31" s="911"/>
      <c r="U31" s="923"/>
      <c r="V31" s="927"/>
      <c r="AT31" s="755">
        <v>29</v>
      </c>
      <c r="AU31" s="757">
        <v>3.5000000000000003e-002</v>
      </c>
      <c r="AV31" s="755">
        <v>29</v>
      </c>
      <c r="AW31" s="757">
        <v>3.5000000000000003e-002</v>
      </c>
      <c r="AY31" s="757"/>
    </row>
    <row r="32" spans="1:51" ht="24" customHeight="1">
      <c r="A32" s="772">
        <v>14</v>
      </c>
      <c r="B32" s="788" t="str">
        <f>IF('1.入力表'!D32=0,"　",'1.入力表'!D32)</f>
        <v>　</v>
      </c>
      <c r="C32" s="808"/>
      <c r="D32" s="825" t="s">
        <v>174</v>
      </c>
      <c r="E32" s="808"/>
      <c r="F32" s="845" t="str">
        <f t="shared" si="14"/>
        <v xml:space="preserve"> </v>
      </c>
      <c r="G32" s="856" t="str">
        <f t="shared" si="15"/>
        <v xml:space="preserve"> </v>
      </c>
      <c r="H32" s="866"/>
      <c r="I32" s="866"/>
      <c r="J32" s="866"/>
      <c r="K32" s="866"/>
      <c r="L32" s="866"/>
      <c r="M32" s="882"/>
      <c r="N32" s="887"/>
      <c r="O32" s="893"/>
      <c r="P32" s="899"/>
      <c r="Q32" s="905" t="str">
        <f>IF(ISBLANK('1.入力表'!D32),"",IF(ISBLANK(E32),0,G32+O32))</f>
        <v/>
      </c>
      <c r="R32" s="911"/>
      <c r="S32" s="911"/>
      <c r="T32" s="911"/>
      <c r="U32" s="923"/>
      <c r="V32" s="927"/>
      <c r="AT32" s="755">
        <v>30</v>
      </c>
      <c r="AU32" s="757">
        <v>3.4000000000000002e-002</v>
      </c>
      <c r="AV32" s="755">
        <v>30</v>
      </c>
      <c r="AW32" s="757">
        <v>3.4000000000000002e-002</v>
      </c>
      <c r="AY32" s="757"/>
    </row>
    <row r="33" spans="1:51" ht="24" customHeight="1">
      <c r="A33" s="772">
        <v>15</v>
      </c>
      <c r="B33" s="788" t="str">
        <f>IF('1.入力表'!D33=0,"　",'1.入力表'!D33)</f>
        <v>　</v>
      </c>
      <c r="C33" s="808"/>
      <c r="D33" s="825" t="s">
        <v>174</v>
      </c>
      <c r="E33" s="808"/>
      <c r="F33" s="845" t="str">
        <f t="shared" si="14"/>
        <v xml:space="preserve"> </v>
      </c>
      <c r="G33" s="856" t="str">
        <f t="shared" si="15"/>
        <v xml:space="preserve"> </v>
      </c>
      <c r="H33" s="866"/>
      <c r="I33" s="866"/>
      <c r="J33" s="866"/>
      <c r="K33" s="866"/>
      <c r="L33" s="866"/>
      <c r="M33" s="882"/>
      <c r="N33" s="887"/>
      <c r="O33" s="893"/>
      <c r="P33" s="899"/>
      <c r="Q33" s="905" t="str">
        <f>IF(ISBLANK('1.入力表'!D33),"",IF(ISBLANK(E33),0,G33+O33))</f>
        <v/>
      </c>
      <c r="R33" s="911"/>
      <c r="S33" s="911"/>
      <c r="T33" s="911"/>
      <c r="U33" s="923"/>
      <c r="V33" s="927"/>
      <c r="AT33" s="755">
        <v>31</v>
      </c>
      <c r="AU33" s="757">
        <v>3.3000000000000002e-002</v>
      </c>
      <c r="AV33" s="755">
        <v>31</v>
      </c>
      <c r="AW33" s="757">
        <v>3.3000000000000002e-002</v>
      </c>
      <c r="AY33" s="757"/>
    </row>
    <row r="34" spans="1:51" ht="24" customHeight="1">
      <c r="A34" s="772">
        <v>16</v>
      </c>
      <c r="B34" s="788" t="str">
        <f>IF('1.入力表'!D34=0,"　",'1.入力表'!D34)</f>
        <v>　</v>
      </c>
      <c r="C34" s="808"/>
      <c r="D34" s="825" t="s">
        <v>174</v>
      </c>
      <c r="E34" s="808"/>
      <c r="F34" s="845" t="str">
        <f t="shared" si="14"/>
        <v xml:space="preserve"> </v>
      </c>
      <c r="G34" s="856" t="str">
        <f t="shared" si="15"/>
        <v xml:space="preserve"> </v>
      </c>
      <c r="H34" s="866"/>
      <c r="I34" s="866"/>
      <c r="J34" s="866"/>
      <c r="K34" s="866"/>
      <c r="L34" s="866"/>
      <c r="M34" s="882"/>
      <c r="N34" s="887"/>
      <c r="O34" s="893"/>
      <c r="P34" s="899"/>
      <c r="Q34" s="905" t="str">
        <f>IF(ISBLANK('1.入力表'!D34),"",IF(ISBLANK(E34),0,G34+O34))</f>
        <v/>
      </c>
      <c r="R34" s="911"/>
      <c r="S34" s="911"/>
      <c r="T34" s="911"/>
      <c r="U34" s="923"/>
      <c r="V34" s="927"/>
      <c r="AT34" s="755">
        <v>32</v>
      </c>
      <c r="AU34" s="757">
        <v>3.2000000000000001e-002</v>
      </c>
      <c r="AV34" s="755">
        <v>32</v>
      </c>
      <c r="AW34" s="757">
        <v>3.2000000000000001e-002</v>
      </c>
      <c r="AY34" s="757"/>
    </row>
    <row r="35" spans="1:51" ht="24" customHeight="1">
      <c r="A35" s="772">
        <v>17</v>
      </c>
      <c r="B35" s="788" t="str">
        <f>IF('1.入力表'!D35=0,"　",'1.入力表'!D35)</f>
        <v>　</v>
      </c>
      <c r="C35" s="808"/>
      <c r="D35" s="825" t="s">
        <v>174</v>
      </c>
      <c r="E35" s="808"/>
      <c r="F35" s="845" t="str">
        <f t="shared" si="14"/>
        <v xml:space="preserve"> </v>
      </c>
      <c r="G35" s="856" t="str">
        <f t="shared" si="15"/>
        <v xml:space="preserve"> </v>
      </c>
      <c r="H35" s="866"/>
      <c r="I35" s="866"/>
      <c r="J35" s="866"/>
      <c r="K35" s="866"/>
      <c r="L35" s="866"/>
      <c r="M35" s="882"/>
      <c r="N35" s="887"/>
      <c r="O35" s="893"/>
      <c r="P35" s="899"/>
      <c r="Q35" s="905" t="str">
        <f>IF(ISBLANK('1.入力表'!D35),"",IF(ISBLANK(E35),0,G35+O35))</f>
        <v/>
      </c>
      <c r="R35" s="911"/>
      <c r="S35" s="911"/>
      <c r="T35" s="911"/>
      <c r="U35" s="923"/>
      <c r="V35" s="927"/>
      <c r="AT35" s="755">
        <v>33</v>
      </c>
      <c r="AU35" s="757">
        <v>3.1e-002</v>
      </c>
      <c r="AV35" s="755">
        <v>33</v>
      </c>
      <c r="AW35" s="757">
        <v>3.1e-002</v>
      </c>
      <c r="AY35" s="757"/>
    </row>
    <row r="36" spans="1:51" ht="24" customHeight="1">
      <c r="A36" s="772">
        <v>18</v>
      </c>
      <c r="B36" s="788" t="str">
        <f>IF('1.入力表'!D36=0,"　",'1.入力表'!D36)</f>
        <v>　</v>
      </c>
      <c r="C36" s="808"/>
      <c r="D36" s="825" t="s">
        <v>174</v>
      </c>
      <c r="E36" s="808"/>
      <c r="F36" s="845" t="str">
        <f t="shared" si="14"/>
        <v xml:space="preserve"> </v>
      </c>
      <c r="G36" s="856" t="str">
        <f t="shared" si="15"/>
        <v xml:space="preserve"> </v>
      </c>
      <c r="H36" s="866"/>
      <c r="I36" s="866"/>
      <c r="J36" s="866"/>
      <c r="K36" s="866"/>
      <c r="L36" s="866"/>
      <c r="M36" s="882"/>
      <c r="N36" s="887"/>
      <c r="O36" s="893"/>
      <c r="P36" s="899"/>
      <c r="Q36" s="905" t="str">
        <f>IF(ISBLANK('1.入力表'!D36),"",IF(ISBLANK(E36),0,G36+O36))</f>
        <v/>
      </c>
      <c r="R36" s="911"/>
      <c r="S36" s="911"/>
      <c r="T36" s="911"/>
      <c r="U36" s="923"/>
      <c r="V36" s="927"/>
      <c r="AT36" s="755">
        <v>34</v>
      </c>
      <c r="AU36" s="757">
        <v>3.e-002</v>
      </c>
      <c r="AV36" s="755">
        <v>34</v>
      </c>
      <c r="AW36" s="757">
        <v>3.e-002</v>
      </c>
      <c r="AY36" s="757"/>
    </row>
    <row r="37" spans="1:51" ht="24" customHeight="1">
      <c r="A37" s="772">
        <v>19</v>
      </c>
      <c r="B37" s="788" t="str">
        <f>IF('1.入力表'!D37=0,"　",'1.入力表'!D37)</f>
        <v>　</v>
      </c>
      <c r="C37" s="808"/>
      <c r="D37" s="825" t="s">
        <v>174</v>
      </c>
      <c r="E37" s="808"/>
      <c r="F37" s="845" t="str">
        <f t="shared" si="14"/>
        <v xml:space="preserve"> </v>
      </c>
      <c r="G37" s="856" t="str">
        <f t="shared" si="15"/>
        <v xml:space="preserve"> </v>
      </c>
      <c r="H37" s="866"/>
      <c r="I37" s="866"/>
      <c r="J37" s="866"/>
      <c r="K37" s="866"/>
      <c r="L37" s="866"/>
      <c r="M37" s="882"/>
      <c r="N37" s="887"/>
      <c r="O37" s="893"/>
      <c r="P37" s="899"/>
      <c r="Q37" s="905" t="str">
        <f>IF(ISBLANK('1.入力表'!D37),"",IF(ISBLANK(E37),0,G37+O37))</f>
        <v/>
      </c>
      <c r="R37" s="911"/>
      <c r="S37" s="911"/>
      <c r="T37" s="911"/>
      <c r="U37" s="923"/>
      <c r="V37" s="927"/>
      <c r="AT37" s="755">
        <v>35</v>
      </c>
      <c r="AU37" s="757">
        <v>2.9000000000000001e-002</v>
      </c>
      <c r="AV37" s="755">
        <v>35</v>
      </c>
      <c r="AW37" s="757">
        <v>2.9000000000000001e-002</v>
      </c>
      <c r="AY37" s="757"/>
    </row>
    <row r="38" spans="1:51" ht="24" customHeight="1">
      <c r="A38" s="772">
        <v>20</v>
      </c>
      <c r="B38" s="788" t="str">
        <f>IF('1.入力表'!D38=0,"　",'1.入力表'!D38)</f>
        <v>　</v>
      </c>
      <c r="C38" s="808"/>
      <c r="D38" s="825" t="s">
        <v>174</v>
      </c>
      <c r="E38" s="808"/>
      <c r="F38" s="845" t="str">
        <f t="shared" si="14"/>
        <v xml:space="preserve"> </v>
      </c>
      <c r="G38" s="856" t="str">
        <f t="shared" si="15"/>
        <v xml:space="preserve"> </v>
      </c>
      <c r="H38" s="866"/>
      <c r="I38" s="866"/>
      <c r="J38" s="866"/>
      <c r="K38" s="866"/>
      <c r="L38" s="866"/>
      <c r="M38" s="882"/>
      <c r="N38" s="887"/>
      <c r="O38" s="893"/>
      <c r="P38" s="899"/>
      <c r="Q38" s="905" t="str">
        <f>IF(ISBLANK('1.入力表'!D38),"",IF(ISBLANK(E38),0,G38+O38))</f>
        <v/>
      </c>
      <c r="R38" s="911"/>
      <c r="S38" s="911"/>
      <c r="T38" s="911"/>
      <c r="U38" s="923"/>
      <c r="V38" s="927"/>
      <c r="AT38" s="755">
        <v>36</v>
      </c>
      <c r="AU38" s="757">
        <v>2.8000000000000001e-002</v>
      </c>
      <c r="AV38" s="755">
        <v>36</v>
      </c>
      <c r="AW38" s="757">
        <v>2.8000000000000001e-002</v>
      </c>
      <c r="AY38" s="757"/>
    </row>
    <row r="39" spans="1:51" ht="24" customHeight="1">
      <c r="A39" s="772">
        <v>21</v>
      </c>
      <c r="B39" s="788" t="str">
        <f>IF('1.入力表'!D39=0,"　",'1.入力表'!D39)</f>
        <v>　</v>
      </c>
      <c r="C39" s="808"/>
      <c r="D39" s="825" t="s">
        <v>174</v>
      </c>
      <c r="E39" s="808"/>
      <c r="F39" s="845" t="str">
        <f t="shared" si="14"/>
        <v xml:space="preserve"> </v>
      </c>
      <c r="G39" s="856" t="str">
        <f t="shared" si="15"/>
        <v xml:space="preserve"> </v>
      </c>
      <c r="H39" s="866"/>
      <c r="I39" s="866"/>
      <c r="J39" s="866"/>
      <c r="K39" s="866"/>
      <c r="L39" s="866"/>
      <c r="M39" s="882"/>
      <c r="N39" s="887"/>
      <c r="O39" s="893"/>
      <c r="P39" s="899"/>
      <c r="Q39" s="905" t="str">
        <f>IF(ISBLANK('1.入力表'!D39),"",IF(ISBLANK(E39),0,G39+O39))</f>
        <v/>
      </c>
      <c r="R39" s="911"/>
      <c r="S39" s="911"/>
      <c r="T39" s="911"/>
      <c r="U39" s="923"/>
      <c r="V39" s="927"/>
      <c r="AT39" s="755">
        <v>37</v>
      </c>
      <c r="AU39" s="757">
        <v>2.7e-002</v>
      </c>
      <c r="AV39" s="755">
        <v>37</v>
      </c>
      <c r="AW39" s="757">
        <v>2.8000000000000001e-002</v>
      </c>
      <c r="AY39" s="757"/>
    </row>
    <row r="40" spans="1:51" ht="24" customHeight="1">
      <c r="A40" s="772">
        <v>22</v>
      </c>
      <c r="B40" s="788" t="str">
        <f>IF('1.入力表'!D40=0,"　",'1.入力表'!D40)</f>
        <v>　</v>
      </c>
      <c r="C40" s="808"/>
      <c r="D40" s="825" t="s">
        <v>174</v>
      </c>
      <c r="E40" s="808"/>
      <c r="F40" s="845" t="str">
        <f t="shared" si="14"/>
        <v xml:space="preserve"> </v>
      </c>
      <c r="G40" s="856" t="str">
        <f t="shared" si="15"/>
        <v xml:space="preserve"> </v>
      </c>
      <c r="H40" s="866"/>
      <c r="I40" s="866"/>
      <c r="J40" s="866"/>
      <c r="K40" s="866"/>
      <c r="L40" s="866"/>
      <c r="M40" s="882"/>
      <c r="N40" s="887"/>
      <c r="O40" s="893"/>
      <c r="P40" s="899"/>
      <c r="Q40" s="905" t="str">
        <f>IF(ISBLANK('1.入力表'!D40),"",IF(ISBLANK(E40),0,G40+O40))</f>
        <v/>
      </c>
      <c r="R40" s="911"/>
      <c r="S40" s="911"/>
      <c r="T40" s="911"/>
      <c r="U40" s="923"/>
      <c r="V40" s="927"/>
      <c r="AT40" s="755">
        <v>38</v>
      </c>
      <c r="AU40" s="757">
        <v>2.7e-002</v>
      </c>
      <c r="AV40" s="755">
        <v>38</v>
      </c>
      <c r="AW40" s="757">
        <v>2.7e-002</v>
      </c>
      <c r="AY40" s="757"/>
    </row>
    <row r="41" spans="1:51" ht="24" customHeight="1">
      <c r="A41" s="772">
        <v>23</v>
      </c>
      <c r="B41" s="788" t="str">
        <f>IF('1.入力表'!D41=0,"　",'1.入力表'!D41)</f>
        <v>　</v>
      </c>
      <c r="C41" s="808"/>
      <c r="D41" s="825" t="s">
        <v>174</v>
      </c>
      <c r="E41" s="808"/>
      <c r="F41" s="845" t="str">
        <f t="shared" si="14"/>
        <v xml:space="preserve"> </v>
      </c>
      <c r="G41" s="856" t="str">
        <f t="shared" si="15"/>
        <v xml:space="preserve"> </v>
      </c>
      <c r="H41" s="866"/>
      <c r="I41" s="866"/>
      <c r="J41" s="866"/>
      <c r="K41" s="866"/>
      <c r="L41" s="866"/>
      <c r="M41" s="882"/>
      <c r="N41" s="887"/>
      <c r="O41" s="893"/>
      <c r="P41" s="899"/>
      <c r="Q41" s="905" t="str">
        <f>IF(ISBLANK('1.入力表'!D41),"",IF(ISBLANK(E41),0,G41+O41))</f>
        <v/>
      </c>
      <c r="R41" s="911"/>
      <c r="S41" s="911"/>
      <c r="T41" s="911"/>
      <c r="U41" s="923"/>
      <c r="V41" s="927"/>
      <c r="AT41" s="755">
        <v>39</v>
      </c>
      <c r="AU41" s="757">
        <v>2.5999999999999999e-002</v>
      </c>
      <c r="AV41" s="755">
        <v>39</v>
      </c>
      <c r="AW41" s="757">
        <v>2.5999999999999999e-002</v>
      </c>
      <c r="AY41" s="757"/>
    </row>
    <row r="42" spans="1:51" ht="24" customHeight="1">
      <c r="A42" s="772">
        <v>24</v>
      </c>
      <c r="B42" s="788" t="str">
        <f>IF('1.入力表'!D42=0,"　",'1.入力表'!D42)</f>
        <v>　</v>
      </c>
      <c r="C42" s="808"/>
      <c r="D42" s="825" t="s">
        <v>174</v>
      </c>
      <c r="E42" s="808"/>
      <c r="F42" s="845" t="str">
        <f t="shared" si="14"/>
        <v xml:space="preserve"> </v>
      </c>
      <c r="G42" s="856" t="str">
        <f t="shared" si="15"/>
        <v xml:space="preserve"> </v>
      </c>
      <c r="H42" s="866"/>
      <c r="I42" s="866"/>
      <c r="J42" s="866"/>
      <c r="K42" s="866"/>
      <c r="L42" s="866"/>
      <c r="M42" s="882"/>
      <c r="N42" s="887"/>
      <c r="O42" s="893"/>
      <c r="P42" s="899"/>
      <c r="Q42" s="905" t="str">
        <f>IF(ISBLANK('1.入力表'!D42),"",IF(ISBLANK(E42),0,G42+O42))</f>
        <v/>
      </c>
      <c r="R42" s="911"/>
      <c r="S42" s="911"/>
      <c r="T42" s="911"/>
      <c r="U42" s="923"/>
      <c r="V42" s="927"/>
      <c r="AT42" s="755">
        <v>40</v>
      </c>
      <c r="AU42" s="757">
        <v>2.5000000000000001e-002</v>
      </c>
      <c r="AV42" s="755">
        <v>40</v>
      </c>
      <c r="AW42" s="757">
        <v>2.5000000000000001e-002</v>
      </c>
      <c r="AY42" s="757"/>
    </row>
    <row r="43" spans="1:51" ht="24" customHeight="1">
      <c r="A43" s="772">
        <v>25</v>
      </c>
      <c r="B43" s="788" t="str">
        <f>IF('1.入力表'!D43=0,"　",'1.入力表'!D43)</f>
        <v>　</v>
      </c>
      <c r="C43" s="808"/>
      <c r="D43" s="825" t="s">
        <v>174</v>
      </c>
      <c r="E43" s="808"/>
      <c r="F43" s="845" t="str">
        <f t="shared" si="14"/>
        <v xml:space="preserve"> </v>
      </c>
      <c r="G43" s="856" t="str">
        <f t="shared" si="15"/>
        <v xml:space="preserve"> </v>
      </c>
      <c r="H43" s="866"/>
      <c r="I43" s="866"/>
      <c r="J43" s="866"/>
      <c r="K43" s="866"/>
      <c r="L43" s="866"/>
      <c r="M43" s="882"/>
      <c r="N43" s="887"/>
      <c r="O43" s="893"/>
      <c r="P43" s="899"/>
      <c r="Q43" s="905" t="str">
        <f>IF(ISBLANK('1.入力表'!D43),"",IF(ISBLANK(E43),0,G43+O43))</f>
        <v/>
      </c>
      <c r="R43" s="911"/>
      <c r="S43" s="911"/>
      <c r="T43" s="911"/>
      <c r="U43" s="923"/>
      <c r="V43" s="927"/>
      <c r="AT43" s="755">
        <v>41</v>
      </c>
      <c r="AU43" s="757">
        <v>2.5000000000000001e-002</v>
      </c>
      <c r="AV43" s="755">
        <v>41</v>
      </c>
      <c r="AW43" s="757">
        <v>2.5000000000000001e-002</v>
      </c>
      <c r="AY43" s="757"/>
    </row>
    <row r="44" spans="1:51" ht="24" customHeight="1">
      <c r="A44" s="772">
        <v>26</v>
      </c>
      <c r="B44" s="788" t="str">
        <f>IF('1.入力表'!D44=0,"　",'1.入力表'!D44)</f>
        <v>　</v>
      </c>
      <c r="C44" s="808"/>
      <c r="D44" s="825" t="s">
        <v>174</v>
      </c>
      <c r="E44" s="808"/>
      <c r="F44" s="845" t="str">
        <f t="shared" si="14"/>
        <v xml:space="preserve"> </v>
      </c>
      <c r="G44" s="856" t="str">
        <f t="shared" si="15"/>
        <v xml:space="preserve"> </v>
      </c>
      <c r="H44" s="866"/>
      <c r="I44" s="866"/>
      <c r="J44" s="866"/>
      <c r="K44" s="866"/>
      <c r="L44" s="866"/>
      <c r="M44" s="882"/>
      <c r="N44" s="887"/>
      <c r="O44" s="893"/>
      <c r="P44" s="899"/>
      <c r="Q44" s="905" t="str">
        <f>IF(ISBLANK('1.入力表'!D44),"",IF(ISBLANK(E44),0,G44+O44))</f>
        <v/>
      </c>
      <c r="R44" s="911"/>
      <c r="S44" s="911"/>
      <c r="T44" s="911"/>
      <c r="U44" s="923"/>
      <c r="V44" s="927"/>
      <c r="AT44" s="755">
        <v>42</v>
      </c>
      <c r="AU44" s="757">
        <v>2.4e-002</v>
      </c>
      <c r="AV44" s="755">
        <v>42</v>
      </c>
      <c r="AW44" s="757">
        <v>2.4e-002</v>
      </c>
      <c r="AY44" s="757"/>
    </row>
    <row r="45" spans="1:51" ht="24" customHeight="1">
      <c r="A45" s="772">
        <v>27</v>
      </c>
      <c r="B45" s="788" t="str">
        <f>IF('1.入力表'!D45=0,"　",'1.入力表'!D45)</f>
        <v>　</v>
      </c>
      <c r="C45" s="808"/>
      <c r="D45" s="825" t="s">
        <v>174</v>
      </c>
      <c r="E45" s="808"/>
      <c r="F45" s="845" t="str">
        <f t="shared" si="14"/>
        <v xml:space="preserve"> </v>
      </c>
      <c r="G45" s="856" t="str">
        <f t="shared" si="15"/>
        <v xml:space="preserve"> </v>
      </c>
      <c r="H45" s="866"/>
      <c r="I45" s="866"/>
      <c r="J45" s="866"/>
      <c r="K45" s="866"/>
      <c r="L45" s="866"/>
      <c r="M45" s="882"/>
      <c r="N45" s="887"/>
      <c r="O45" s="893"/>
      <c r="P45" s="899"/>
      <c r="Q45" s="905" t="str">
        <f>IF(ISBLANK('1.入力表'!D45),"",IF(ISBLANK(E45),0,G45+O45))</f>
        <v/>
      </c>
      <c r="R45" s="911"/>
      <c r="S45" s="911"/>
      <c r="T45" s="911"/>
      <c r="U45" s="923"/>
      <c r="V45" s="927"/>
      <c r="AT45" s="755">
        <v>43</v>
      </c>
      <c r="AU45" s="757">
        <v>2.4e-002</v>
      </c>
      <c r="AV45" s="755">
        <v>43</v>
      </c>
      <c r="AW45" s="757">
        <v>2.4e-002</v>
      </c>
      <c r="AY45" s="757"/>
    </row>
    <row r="46" spans="1:51" ht="24" customHeight="1">
      <c r="A46" s="772">
        <v>28</v>
      </c>
      <c r="B46" s="788" t="str">
        <f>IF('1.入力表'!D46=0,"　",'1.入力表'!D46)</f>
        <v>　</v>
      </c>
      <c r="C46" s="808"/>
      <c r="D46" s="825" t="s">
        <v>174</v>
      </c>
      <c r="E46" s="808"/>
      <c r="F46" s="845" t="str">
        <f t="shared" si="14"/>
        <v xml:space="preserve"> </v>
      </c>
      <c r="G46" s="856" t="str">
        <f t="shared" si="15"/>
        <v xml:space="preserve"> </v>
      </c>
      <c r="H46" s="866"/>
      <c r="I46" s="866"/>
      <c r="J46" s="866"/>
      <c r="K46" s="866"/>
      <c r="L46" s="866"/>
      <c r="M46" s="882"/>
      <c r="N46" s="887"/>
      <c r="O46" s="893"/>
      <c r="P46" s="899"/>
      <c r="Q46" s="905" t="str">
        <f>IF(ISBLANK('1.入力表'!D46),"",IF(ISBLANK(E46),0,G46+O46))</f>
        <v/>
      </c>
      <c r="R46" s="911"/>
      <c r="S46" s="911"/>
      <c r="T46" s="911"/>
      <c r="U46" s="923"/>
      <c r="V46" s="927"/>
      <c r="AT46" s="755">
        <v>44</v>
      </c>
      <c r="AU46" s="757">
        <v>2.3e-002</v>
      </c>
      <c r="AV46" s="755">
        <v>44</v>
      </c>
      <c r="AW46" s="757">
        <v>2.3e-002</v>
      </c>
      <c r="AY46" s="757"/>
    </row>
    <row r="47" spans="1:51" ht="24" hidden="1" customHeight="1">
      <c r="A47" s="772"/>
      <c r="B47" s="789"/>
      <c r="C47" s="808"/>
      <c r="D47" s="825"/>
      <c r="E47" s="808"/>
      <c r="F47" s="846"/>
      <c r="G47" s="856" t="str">
        <f t="shared" si="15"/>
        <v xml:space="preserve"> </v>
      </c>
      <c r="H47" s="866"/>
      <c r="I47" s="866"/>
      <c r="J47" s="866"/>
      <c r="K47" s="866"/>
      <c r="L47" s="866"/>
      <c r="M47" s="882"/>
      <c r="N47" s="887"/>
      <c r="O47" s="893"/>
      <c r="P47" s="899"/>
      <c r="Q47" s="905"/>
      <c r="R47" s="911"/>
      <c r="S47" s="911"/>
      <c r="T47" s="911"/>
      <c r="U47" s="923"/>
      <c r="V47" s="927"/>
      <c r="AT47" s="755">
        <v>45</v>
      </c>
      <c r="AU47" s="757">
        <v>2.3e-002</v>
      </c>
      <c r="AV47" s="755">
        <v>45</v>
      </c>
      <c r="AW47" s="757">
        <v>2.3e-002</v>
      </c>
      <c r="AY47" s="757"/>
    </row>
    <row r="48" spans="1:51" ht="24" customHeight="1">
      <c r="A48" s="772">
        <v>29</v>
      </c>
      <c r="B48" s="788" t="str">
        <f>IF('1.入力表'!D47=0,"　",'1.入力表'!D47)</f>
        <v>　</v>
      </c>
      <c r="C48" s="808"/>
      <c r="D48" s="825" t="s">
        <v>174</v>
      </c>
      <c r="E48" s="808"/>
      <c r="F48" s="845" t="str">
        <f t="shared" ref="F48:F64" si="16">IF(ISBLANK(E48)," ",ROUND(C48/E48,3))</f>
        <v xml:space="preserve"> </v>
      </c>
      <c r="G48" s="856" t="str">
        <f t="shared" si="15"/>
        <v xml:space="preserve"> </v>
      </c>
      <c r="H48" s="866"/>
      <c r="I48" s="866"/>
      <c r="J48" s="866"/>
      <c r="K48" s="866"/>
      <c r="L48" s="866"/>
      <c r="M48" s="882"/>
      <c r="N48" s="887"/>
      <c r="O48" s="893"/>
      <c r="P48" s="899"/>
      <c r="Q48" s="905" t="str">
        <f>IF(ISBLANK('1.入力表'!D47),"",IF(ISBLANK(E48),0,G48+O48))</f>
        <v/>
      </c>
      <c r="R48" s="911"/>
      <c r="S48" s="911"/>
      <c r="T48" s="911"/>
      <c r="U48" s="923"/>
      <c r="V48" s="927"/>
      <c r="AT48" s="755">
        <v>47</v>
      </c>
      <c r="AU48" s="757">
        <v>2.1999999999999999e-002</v>
      </c>
      <c r="AV48" s="755">
        <v>47</v>
      </c>
      <c r="AW48" s="757">
        <v>2.1999999999999999e-002</v>
      </c>
      <c r="AY48" s="757"/>
    </row>
    <row r="49" spans="1:51" ht="24" customHeight="1">
      <c r="A49" s="772">
        <v>30</v>
      </c>
      <c r="B49" s="788" t="str">
        <f>IF('1.入力表'!D48=0,"　",'1.入力表'!D48)</f>
        <v>　</v>
      </c>
      <c r="C49" s="809"/>
      <c r="D49" s="825" t="s">
        <v>174</v>
      </c>
      <c r="E49" s="809"/>
      <c r="F49" s="845" t="str">
        <f t="shared" si="16"/>
        <v xml:space="preserve"> </v>
      </c>
      <c r="G49" s="856" t="str">
        <f t="shared" si="15"/>
        <v xml:space="preserve"> </v>
      </c>
      <c r="H49" s="866"/>
      <c r="I49" s="866"/>
      <c r="J49" s="866"/>
      <c r="K49" s="866"/>
      <c r="L49" s="866"/>
      <c r="M49" s="882"/>
      <c r="N49" s="887"/>
      <c r="O49" s="893"/>
      <c r="P49" s="899"/>
      <c r="Q49" s="905" t="str">
        <f>IF(ISBLANK('1.入力表'!D48),"",IF(ISBLANK(E49),0,G49+O49))</f>
        <v/>
      </c>
      <c r="R49" s="911"/>
      <c r="S49" s="911"/>
      <c r="T49" s="911"/>
      <c r="U49" s="923"/>
      <c r="V49" s="927"/>
      <c r="AT49" s="755">
        <v>50</v>
      </c>
      <c r="AU49" s="757">
        <v>2.e-002</v>
      </c>
      <c r="AV49" s="755">
        <v>50</v>
      </c>
      <c r="AW49" s="757">
        <v>2.e-002</v>
      </c>
      <c r="AY49" s="757"/>
    </row>
    <row r="50" spans="1:51" ht="24" customHeight="1">
      <c r="A50" s="771">
        <v>31</v>
      </c>
      <c r="B50" s="787" t="str">
        <f>IF('1.入力表'!D49=0,"　",'1.入力表'!D49)</f>
        <v>　</v>
      </c>
      <c r="C50" s="808"/>
      <c r="D50" s="826" t="s">
        <v>174</v>
      </c>
      <c r="E50" s="808"/>
      <c r="F50" s="844" t="str">
        <f t="shared" si="16"/>
        <v xml:space="preserve"> </v>
      </c>
      <c r="G50" s="857" t="str">
        <f t="shared" si="15"/>
        <v xml:space="preserve"> </v>
      </c>
      <c r="H50" s="867"/>
      <c r="I50" s="867"/>
      <c r="J50" s="867"/>
      <c r="K50" s="867"/>
      <c r="L50" s="867"/>
      <c r="M50" s="881"/>
      <c r="N50" s="886"/>
      <c r="O50" s="894"/>
      <c r="P50" s="900"/>
      <c r="Q50" s="906" t="str">
        <f>IF(ISBLANK('1.入力表'!D49),"",IF(ISBLANK(E50),0,G50+O50))</f>
        <v/>
      </c>
      <c r="R50" s="912"/>
      <c r="S50" s="912"/>
      <c r="T50" s="912"/>
      <c r="U50" s="924"/>
      <c r="V50" s="927"/>
      <c r="AU50" s="949" t="s">
        <v>573</v>
      </c>
      <c r="AW50" s="757"/>
      <c r="AY50" s="757"/>
    </row>
    <row r="51" spans="1:51" ht="24" customHeight="1">
      <c r="A51" s="772">
        <v>32</v>
      </c>
      <c r="B51" s="788" t="str">
        <f>IF('1.入力表'!D50=0,"　",'1.入力表'!D50)</f>
        <v>　</v>
      </c>
      <c r="C51" s="808"/>
      <c r="D51" s="825" t="s">
        <v>174</v>
      </c>
      <c r="E51" s="808"/>
      <c r="F51" s="845" t="str">
        <f t="shared" si="16"/>
        <v xml:space="preserve"> </v>
      </c>
      <c r="G51" s="856" t="str">
        <f t="shared" si="15"/>
        <v xml:space="preserve"> </v>
      </c>
      <c r="H51" s="866"/>
      <c r="I51" s="866"/>
      <c r="J51" s="866"/>
      <c r="K51" s="866"/>
      <c r="L51" s="866"/>
      <c r="M51" s="882"/>
      <c r="N51" s="887"/>
      <c r="O51" s="893"/>
      <c r="P51" s="899"/>
      <c r="Q51" s="905" t="str">
        <f>IF(ISBLANK('1.入力表'!D50),"",IF(ISBLANK(E51),0,G51+O51))</f>
        <v/>
      </c>
      <c r="R51" s="911"/>
      <c r="S51" s="911"/>
      <c r="T51" s="911"/>
      <c r="U51" s="923"/>
      <c r="V51" s="927"/>
      <c r="AU51" s="755"/>
      <c r="AV51" s="757"/>
      <c r="AX51" s="757"/>
      <c r="AY51" s="757"/>
    </row>
    <row r="52" spans="1:51" ht="24" customHeight="1">
      <c r="A52" s="772">
        <v>33</v>
      </c>
      <c r="B52" s="788" t="str">
        <f>IF('1.入力表'!D51=0,"　",'1.入力表'!D51)</f>
        <v>　</v>
      </c>
      <c r="C52" s="808"/>
      <c r="D52" s="825" t="s">
        <v>174</v>
      </c>
      <c r="E52" s="808"/>
      <c r="F52" s="845" t="str">
        <f t="shared" si="16"/>
        <v xml:space="preserve"> </v>
      </c>
      <c r="G52" s="856" t="str">
        <f t="shared" si="15"/>
        <v xml:space="preserve"> </v>
      </c>
      <c r="H52" s="866"/>
      <c r="I52" s="866"/>
      <c r="J52" s="866"/>
      <c r="K52" s="866"/>
      <c r="L52" s="866"/>
      <c r="M52" s="882"/>
      <c r="N52" s="887"/>
      <c r="O52" s="893"/>
      <c r="P52" s="899"/>
      <c r="Q52" s="905" t="str">
        <f>IF(ISBLANK('1.入力表'!D51),"",IF(ISBLANK(E52),0,G52+O52))</f>
        <v/>
      </c>
      <c r="R52" s="911"/>
      <c r="S52" s="911"/>
      <c r="T52" s="911"/>
      <c r="U52" s="923"/>
      <c r="V52" s="927"/>
      <c r="AU52" s="757">
        <v>2.e-002</v>
      </c>
      <c r="AW52" s="755">
        <v>50</v>
      </c>
      <c r="AX52" s="757">
        <v>2.e-002</v>
      </c>
    </row>
    <row r="53" spans="1:51" ht="24" customHeight="1">
      <c r="A53" s="772">
        <v>34</v>
      </c>
      <c r="B53" s="788" t="str">
        <f>IF('1.入力表'!D52=0,"　",'1.入力表'!D52)</f>
        <v>　</v>
      </c>
      <c r="C53" s="808"/>
      <c r="D53" s="825" t="s">
        <v>174</v>
      </c>
      <c r="E53" s="808"/>
      <c r="F53" s="845" t="str">
        <f t="shared" si="16"/>
        <v xml:space="preserve"> </v>
      </c>
      <c r="G53" s="856" t="str">
        <f t="shared" si="15"/>
        <v xml:space="preserve"> </v>
      </c>
      <c r="H53" s="866"/>
      <c r="I53" s="866"/>
      <c r="J53" s="866"/>
      <c r="K53" s="866"/>
      <c r="L53" s="866"/>
      <c r="M53" s="882"/>
      <c r="N53" s="887"/>
      <c r="O53" s="893"/>
      <c r="P53" s="899"/>
      <c r="Q53" s="905" t="str">
        <f>IF(ISBLANK('1.入力表'!D52),"",IF(ISBLANK(E53),0,G53+O53))</f>
        <v/>
      </c>
      <c r="R53" s="911"/>
      <c r="S53" s="911"/>
      <c r="T53" s="911"/>
      <c r="U53" s="923"/>
      <c r="V53" s="927"/>
    </row>
    <row r="54" spans="1:51" ht="24" customHeight="1">
      <c r="A54" s="772">
        <v>35</v>
      </c>
      <c r="B54" s="788" t="str">
        <f>IF('1.入力表'!D53=0,"　",'1.入力表'!D53)</f>
        <v>　</v>
      </c>
      <c r="C54" s="808"/>
      <c r="D54" s="825" t="s">
        <v>174</v>
      </c>
      <c r="E54" s="808"/>
      <c r="F54" s="845" t="str">
        <f t="shared" si="16"/>
        <v xml:space="preserve"> </v>
      </c>
      <c r="G54" s="856" t="str">
        <f t="shared" si="15"/>
        <v xml:space="preserve"> </v>
      </c>
      <c r="H54" s="866"/>
      <c r="I54" s="866"/>
      <c r="J54" s="866"/>
      <c r="K54" s="866"/>
      <c r="L54" s="866"/>
      <c r="M54" s="882"/>
      <c r="N54" s="887"/>
      <c r="O54" s="893"/>
      <c r="P54" s="899"/>
      <c r="Q54" s="905" t="str">
        <f>IF(ISBLANK('1.入力表'!D53),"",IF(ISBLANK(E54),0,G54+O54))</f>
        <v/>
      </c>
      <c r="R54" s="911"/>
      <c r="S54" s="911"/>
      <c r="T54" s="911"/>
      <c r="U54" s="923"/>
      <c r="V54" s="927"/>
    </row>
    <row r="55" spans="1:51" ht="24" customHeight="1">
      <c r="A55" s="772">
        <v>36</v>
      </c>
      <c r="B55" s="788" t="str">
        <f>IF('1.入力表'!D54=0,"　",'1.入力表'!D54)</f>
        <v>　</v>
      </c>
      <c r="C55" s="808"/>
      <c r="D55" s="825" t="s">
        <v>174</v>
      </c>
      <c r="E55" s="808"/>
      <c r="F55" s="845" t="str">
        <f t="shared" si="16"/>
        <v xml:space="preserve"> </v>
      </c>
      <c r="G55" s="856" t="str">
        <f t="shared" si="15"/>
        <v xml:space="preserve"> </v>
      </c>
      <c r="H55" s="866"/>
      <c r="I55" s="866"/>
      <c r="J55" s="866"/>
      <c r="K55" s="866"/>
      <c r="L55" s="866"/>
      <c r="M55" s="882"/>
      <c r="N55" s="887"/>
      <c r="O55" s="893"/>
      <c r="P55" s="899"/>
      <c r="Q55" s="905" t="str">
        <f>IF(ISBLANK('1.入力表'!D54),"",IF(ISBLANK(E55),0,G55+O55))</f>
        <v/>
      </c>
      <c r="R55" s="911"/>
      <c r="S55" s="911"/>
      <c r="T55" s="911"/>
      <c r="U55" s="923"/>
      <c r="V55" s="927"/>
    </row>
    <row r="56" spans="1:51" ht="24" customHeight="1">
      <c r="A56" s="772">
        <v>37</v>
      </c>
      <c r="B56" s="788" t="str">
        <f>IF('1.入力表'!D55=0,"　",'1.入力表'!D55)</f>
        <v>　</v>
      </c>
      <c r="C56" s="808"/>
      <c r="D56" s="825" t="s">
        <v>174</v>
      </c>
      <c r="E56" s="808"/>
      <c r="F56" s="845" t="str">
        <f t="shared" si="16"/>
        <v xml:space="preserve"> </v>
      </c>
      <c r="G56" s="856" t="str">
        <f t="shared" si="15"/>
        <v xml:space="preserve"> </v>
      </c>
      <c r="H56" s="866"/>
      <c r="I56" s="866"/>
      <c r="J56" s="866"/>
      <c r="K56" s="866"/>
      <c r="L56" s="866"/>
      <c r="M56" s="882"/>
      <c r="N56" s="887"/>
      <c r="O56" s="893"/>
      <c r="P56" s="899"/>
      <c r="Q56" s="905" t="str">
        <f>IF(ISBLANK('1.入力表'!D55),"",IF(ISBLANK(E56),0,G56+O56))</f>
        <v/>
      </c>
      <c r="R56" s="911"/>
      <c r="S56" s="911"/>
      <c r="T56" s="911"/>
      <c r="U56" s="923"/>
      <c r="V56" s="927"/>
    </row>
    <row r="57" spans="1:51" ht="24" customHeight="1">
      <c r="A57" s="772">
        <v>38</v>
      </c>
      <c r="B57" s="788" t="str">
        <f>IF('1.入力表'!D56=0,"　",'1.入力表'!D56)</f>
        <v>　</v>
      </c>
      <c r="C57" s="808"/>
      <c r="D57" s="825" t="s">
        <v>174</v>
      </c>
      <c r="E57" s="808"/>
      <c r="F57" s="845" t="str">
        <f t="shared" si="16"/>
        <v xml:space="preserve"> </v>
      </c>
      <c r="G57" s="856" t="str">
        <f t="shared" si="15"/>
        <v xml:space="preserve"> </v>
      </c>
      <c r="H57" s="866"/>
      <c r="I57" s="866"/>
      <c r="J57" s="866"/>
      <c r="K57" s="866"/>
      <c r="L57" s="866"/>
      <c r="M57" s="882"/>
      <c r="N57" s="887"/>
      <c r="O57" s="893"/>
      <c r="P57" s="899"/>
      <c r="Q57" s="905" t="str">
        <f>IF(ISBLANK('1.入力表'!D56),"",IF(ISBLANK(E57),0,G57+O57))</f>
        <v/>
      </c>
      <c r="R57" s="911"/>
      <c r="S57" s="911"/>
      <c r="T57" s="911"/>
      <c r="U57" s="923"/>
      <c r="V57" s="927"/>
    </row>
    <row r="58" spans="1:51" ht="24" customHeight="1">
      <c r="A58" s="772">
        <v>39</v>
      </c>
      <c r="B58" s="788" t="str">
        <f>IF('1.入力表'!D57=0,"　",'1.入力表'!D57)</f>
        <v>　</v>
      </c>
      <c r="C58" s="808"/>
      <c r="D58" s="825" t="s">
        <v>174</v>
      </c>
      <c r="E58" s="808"/>
      <c r="F58" s="845" t="str">
        <f t="shared" si="16"/>
        <v xml:space="preserve"> </v>
      </c>
      <c r="G58" s="856" t="str">
        <f t="shared" si="15"/>
        <v xml:space="preserve"> </v>
      </c>
      <c r="H58" s="866"/>
      <c r="I58" s="866"/>
      <c r="J58" s="866"/>
      <c r="K58" s="866"/>
      <c r="L58" s="866"/>
      <c r="M58" s="882"/>
      <c r="N58" s="887"/>
      <c r="O58" s="893"/>
      <c r="P58" s="899"/>
      <c r="Q58" s="905" t="str">
        <f>IF(ISBLANK('1.入力表'!D57),"",IF(ISBLANK(E58),0,G58+O58))</f>
        <v/>
      </c>
      <c r="R58" s="911"/>
      <c r="S58" s="911"/>
      <c r="T58" s="911"/>
      <c r="U58" s="923"/>
      <c r="V58" s="927"/>
    </row>
    <row r="59" spans="1:51" ht="24" customHeight="1">
      <c r="A59" s="772">
        <v>40</v>
      </c>
      <c r="B59" s="788" t="str">
        <f>IF('1.入力表'!D58=0,"　",'1.入力表'!D58)</f>
        <v>　</v>
      </c>
      <c r="C59" s="808"/>
      <c r="D59" s="825" t="s">
        <v>174</v>
      </c>
      <c r="E59" s="808"/>
      <c r="F59" s="845" t="str">
        <f t="shared" si="16"/>
        <v xml:space="preserve"> </v>
      </c>
      <c r="G59" s="856" t="str">
        <f t="shared" si="15"/>
        <v xml:space="preserve"> </v>
      </c>
      <c r="H59" s="866"/>
      <c r="I59" s="866"/>
      <c r="J59" s="866"/>
      <c r="K59" s="866"/>
      <c r="L59" s="866"/>
      <c r="M59" s="882"/>
      <c r="N59" s="887"/>
      <c r="O59" s="893"/>
      <c r="P59" s="899"/>
      <c r="Q59" s="905" t="str">
        <f>IF(ISBLANK('1.入力表'!D58),"",IF(ISBLANK(E59),0,G59+O59))</f>
        <v/>
      </c>
      <c r="R59" s="911"/>
      <c r="S59" s="911"/>
      <c r="T59" s="911"/>
      <c r="U59" s="923"/>
      <c r="V59" s="927"/>
    </row>
    <row r="60" spans="1:51" ht="24" customHeight="1">
      <c r="A60" s="772">
        <v>41</v>
      </c>
      <c r="B60" s="788" t="str">
        <f>IF('1.入力表'!D59=0,"　",'1.入力表'!D59)</f>
        <v>　</v>
      </c>
      <c r="C60" s="809"/>
      <c r="D60" s="825" t="s">
        <v>174</v>
      </c>
      <c r="E60" s="809"/>
      <c r="F60" s="845" t="str">
        <f t="shared" si="16"/>
        <v xml:space="preserve"> </v>
      </c>
      <c r="G60" s="856" t="str">
        <f t="shared" si="15"/>
        <v xml:space="preserve"> </v>
      </c>
      <c r="H60" s="866"/>
      <c r="I60" s="866"/>
      <c r="J60" s="866"/>
      <c r="K60" s="866"/>
      <c r="L60" s="866"/>
      <c r="M60" s="882"/>
      <c r="N60" s="887"/>
      <c r="O60" s="893"/>
      <c r="P60" s="899"/>
      <c r="Q60" s="905" t="str">
        <f>IF(ISBLANK('1.入力表'!D59),"",IF(ISBLANK(E60),0,G60+O60))</f>
        <v/>
      </c>
      <c r="R60" s="911"/>
      <c r="S60" s="911"/>
      <c r="T60" s="911"/>
      <c r="U60" s="923"/>
      <c r="V60" s="927"/>
    </row>
    <row r="61" spans="1:51" ht="24" customHeight="1">
      <c r="A61" s="772">
        <v>42</v>
      </c>
      <c r="B61" s="788" t="str">
        <f>IF('1.入力表'!D60=0,"　",'1.入力表'!D60)</f>
        <v>　</v>
      </c>
      <c r="C61" s="809"/>
      <c r="D61" s="825" t="s">
        <v>174</v>
      </c>
      <c r="E61" s="809"/>
      <c r="F61" s="845" t="str">
        <f t="shared" si="16"/>
        <v xml:space="preserve"> </v>
      </c>
      <c r="G61" s="856" t="str">
        <f t="shared" si="15"/>
        <v xml:space="preserve"> </v>
      </c>
      <c r="H61" s="866"/>
      <c r="I61" s="866"/>
      <c r="J61" s="866"/>
      <c r="K61" s="866"/>
      <c r="L61" s="866"/>
      <c r="M61" s="882"/>
      <c r="N61" s="887"/>
      <c r="O61" s="893"/>
      <c r="P61" s="899"/>
      <c r="Q61" s="905" t="str">
        <f>IF(ISBLANK('1.入力表'!D60),"",IF(ISBLANK(E61),0,G61+O61))</f>
        <v/>
      </c>
      <c r="R61" s="911"/>
      <c r="S61" s="911"/>
      <c r="T61" s="911"/>
      <c r="U61" s="923"/>
      <c r="V61" s="927"/>
    </row>
    <row r="62" spans="1:51" ht="24" customHeight="1">
      <c r="A62" s="772">
        <v>43</v>
      </c>
      <c r="B62" s="788" t="str">
        <f>IF('1.入力表'!D61=0,"　",'1.入力表'!D61)</f>
        <v>　</v>
      </c>
      <c r="C62" s="809"/>
      <c r="D62" s="825" t="s">
        <v>174</v>
      </c>
      <c r="E62" s="809"/>
      <c r="F62" s="845" t="str">
        <f t="shared" si="16"/>
        <v xml:space="preserve"> </v>
      </c>
      <c r="G62" s="856" t="str">
        <f t="shared" si="15"/>
        <v xml:space="preserve"> </v>
      </c>
      <c r="H62" s="866"/>
      <c r="I62" s="866"/>
      <c r="J62" s="866"/>
      <c r="K62" s="866"/>
      <c r="L62" s="866"/>
      <c r="M62" s="882"/>
      <c r="N62" s="887"/>
      <c r="O62" s="893"/>
      <c r="P62" s="899"/>
      <c r="Q62" s="905" t="str">
        <f>IF(ISBLANK('1.入力表'!D61),"",IF(ISBLANK(E62),0,G62+O62))</f>
        <v/>
      </c>
      <c r="R62" s="911"/>
      <c r="S62" s="911"/>
      <c r="T62" s="911"/>
      <c r="U62" s="923"/>
      <c r="V62" s="927"/>
    </row>
    <row r="63" spans="1:51" ht="24" customHeight="1">
      <c r="A63" s="772">
        <v>44</v>
      </c>
      <c r="B63" s="788" t="str">
        <f>IF('1.入力表'!D62=0,"　",'1.入力表'!D62)</f>
        <v>　</v>
      </c>
      <c r="C63" s="809"/>
      <c r="D63" s="825" t="s">
        <v>174</v>
      </c>
      <c r="E63" s="809"/>
      <c r="F63" s="845" t="str">
        <f t="shared" si="16"/>
        <v xml:space="preserve"> </v>
      </c>
      <c r="G63" s="856" t="str">
        <f t="shared" si="15"/>
        <v xml:space="preserve"> </v>
      </c>
      <c r="H63" s="866"/>
      <c r="I63" s="866"/>
      <c r="J63" s="866"/>
      <c r="K63" s="866"/>
      <c r="L63" s="866"/>
      <c r="M63" s="882"/>
      <c r="N63" s="887"/>
      <c r="O63" s="893"/>
      <c r="P63" s="899"/>
      <c r="Q63" s="905" t="str">
        <f>IF(ISBLANK('1.入力表'!D62),"",IF(ISBLANK(E63),0,G63+O63))</f>
        <v/>
      </c>
      <c r="R63" s="911"/>
      <c r="S63" s="911"/>
      <c r="T63" s="911"/>
      <c r="U63" s="923"/>
      <c r="V63" s="927"/>
    </row>
    <row r="64" spans="1:51" ht="24" customHeight="1">
      <c r="A64" s="773">
        <v>45</v>
      </c>
      <c r="B64" s="790" t="str">
        <f>IF('1.入力表'!D63=0,"　",'1.入力表'!D63)</f>
        <v>　</v>
      </c>
      <c r="C64" s="810"/>
      <c r="D64" s="827" t="s">
        <v>174</v>
      </c>
      <c r="E64" s="810"/>
      <c r="F64" s="847" t="str">
        <f t="shared" si="16"/>
        <v xml:space="preserve"> </v>
      </c>
      <c r="G64" s="856" t="str">
        <f t="shared" si="15"/>
        <v xml:space="preserve"> </v>
      </c>
      <c r="H64" s="866"/>
      <c r="I64" s="866"/>
      <c r="J64" s="866"/>
      <c r="K64" s="866"/>
      <c r="L64" s="866"/>
      <c r="M64" s="883"/>
      <c r="N64" s="888"/>
      <c r="O64" s="893"/>
      <c r="P64" s="899"/>
      <c r="Q64" s="907" t="str">
        <f>IF(ISBLANK('1.入力表'!D63),"",IF(ISBLANK(E64),0,G64+O64))</f>
        <v/>
      </c>
      <c r="R64" s="913"/>
      <c r="S64" s="913"/>
      <c r="T64" s="913"/>
      <c r="U64" s="925"/>
      <c r="V64" s="927"/>
    </row>
    <row r="65" spans="1:22" ht="24" customHeight="1">
      <c r="A65" s="774"/>
      <c r="B65" s="791" t="s">
        <v>281</v>
      </c>
      <c r="C65" s="811">
        <f>F65</f>
        <v>0.99999999999999989</v>
      </c>
      <c r="D65" s="828"/>
      <c r="E65" s="828"/>
      <c r="F65" s="848">
        <f>SUM(F19:F64)</f>
        <v>0.99999999999999989</v>
      </c>
      <c r="G65" s="858"/>
      <c r="H65" s="868"/>
      <c r="I65" s="868"/>
      <c r="J65" s="868"/>
      <c r="K65" s="868"/>
      <c r="L65" s="877"/>
      <c r="M65" s="877"/>
      <c r="N65" s="889"/>
      <c r="O65" s="895">
        <f>SUM(O19:P64)</f>
        <v>-5</v>
      </c>
      <c r="P65" s="901"/>
      <c r="Q65" s="908">
        <f>SUM(Q19:U64)</f>
        <v>210435</v>
      </c>
      <c r="R65" s="914"/>
      <c r="S65" s="914"/>
      <c r="T65" s="914"/>
      <c r="U65" s="926"/>
      <c r="V65" s="927"/>
    </row>
    <row r="66" spans="1:22" ht="14.25">
      <c r="A66" s="775"/>
      <c r="B66" s="775"/>
      <c r="C66" s="812"/>
      <c r="D66" s="812"/>
      <c r="E66" s="812"/>
      <c r="F66" s="849"/>
      <c r="G66" s="859"/>
      <c r="H66" s="859"/>
      <c r="I66" s="859"/>
      <c r="J66" s="859"/>
      <c r="K66" s="859"/>
      <c r="L66" s="775"/>
      <c r="M66" s="775"/>
      <c r="N66" s="775"/>
      <c r="O66" s="775"/>
      <c r="P66" s="775"/>
      <c r="Q66" s="909"/>
      <c r="R66" s="909"/>
      <c r="S66" s="909"/>
      <c r="T66" s="909"/>
      <c r="U66" s="909"/>
      <c r="V66" s="927"/>
    </row>
    <row r="67" spans="1:22">
      <c r="A67" s="775"/>
      <c r="B67" s="775"/>
      <c r="C67" s="812"/>
      <c r="D67" s="812"/>
      <c r="E67" s="812"/>
      <c r="F67" s="849"/>
      <c r="G67" s="859"/>
      <c r="H67" s="859"/>
      <c r="I67" s="859"/>
      <c r="J67" s="859"/>
      <c r="K67" s="859"/>
      <c r="L67" s="775"/>
      <c r="M67" s="775"/>
      <c r="N67" s="775"/>
      <c r="O67" s="775"/>
      <c r="P67" s="775"/>
      <c r="Q67" s="909"/>
      <c r="R67" s="909"/>
      <c r="S67" s="909"/>
      <c r="T67" s="909"/>
      <c r="U67" s="909"/>
      <c r="V67" s="927"/>
    </row>
    <row r="68" spans="1:22">
      <c r="A68" s="775"/>
      <c r="B68" s="775"/>
      <c r="C68" s="812"/>
      <c r="D68" s="812"/>
      <c r="E68" s="812"/>
      <c r="F68" s="849"/>
      <c r="G68" s="859"/>
      <c r="H68" s="859"/>
      <c r="I68" s="859"/>
      <c r="J68" s="859"/>
      <c r="K68" s="859"/>
      <c r="L68" s="775"/>
      <c r="M68" s="775"/>
      <c r="N68" s="775"/>
      <c r="O68" s="775"/>
      <c r="P68" s="775"/>
      <c r="Q68" s="909"/>
      <c r="R68" s="909"/>
      <c r="S68" s="909"/>
      <c r="T68" s="909"/>
      <c r="U68" s="909"/>
      <c r="V68" s="927"/>
    </row>
    <row r="69" spans="1:22" ht="14.25"/>
    <row r="70" spans="1:22" ht="17.25" hidden="1">
      <c r="B70" s="792" t="s">
        <v>582</v>
      </c>
      <c r="C70" s="813" t="s">
        <v>740</v>
      </c>
      <c r="D70" s="813" t="s">
        <v>260</v>
      </c>
      <c r="E70" s="813" t="s">
        <v>120</v>
      </c>
      <c r="F70" s="813"/>
      <c r="G70" s="813" t="s">
        <v>583</v>
      </c>
      <c r="H70" s="869"/>
      <c r="I70" s="869"/>
      <c r="J70" s="869"/>
      <c r="K70" s="869"/>
    </row>
    <row r="71" spans="1:22" ht="17.25" hidden="1">
      <c r="B71" s="793" t="s">
        <v>164</v>
      </c>
      <c r="C71" s="814" t="s">
        <v>305</v>
      </c>
      <c r="D71" s="829">
        <v>4</v>
      </c>
      <c r="E71" s="829">
        <v>4</v>
      </c>
      <c r="F71" s="829"/>
      <c r="G71" s="860">
        <v>0.25</v>
      </c>
      <c r="H71" s="870"/>
      <c r="I71" s="870"/>
      <c r="J71" s="870"/>
      <c r="K71" s="870"/>
    </row>
    <row r="72" spans="1:22" ht="17.25" hidden="1">
      <c r="B72" s="793" t="s">
        <v>586</v>
      </c>
      <c r="C72" s="814" t="s">
        <v>112</v>
      </c>
      <c r="D72" s="829">
        <v>4</v>
      </c>
      <c r="E72" s="829">
        <v>7</v>
      </c>
      <c r="F72" s="829"/>
      <c r="G72" s="860">
        <v>0.25</v>
      </c>
      <c r="H72" s="870"/>
      <c r="I72" s="870"/>
      <c r="J72" s="870"/>
      <c r="K72" s="870"/>
    </row>
    <row r="73" spans="1:22" ht="17.25" hidden="1">
      <c r="B73" s="793" t="s">
        <v>321</v>
      </c>
      <c r="C73" s="814" t="s">
        <v>534</v>
      </c>
      <c r="D73" s="829">
        <v>5</v>
      </c>
      <c r="E73" s="829">
        <v>7</v>
      </c>
      <c r="F73" s="829"/>
      <c r="G73" s="860">
        <v>0.2</v>
      </c>
      <c r="H73" s="870"/>
      <c r="I73" s="870"/>
      <c r="J73" s="870"/>
      <c r="K73" s="870"/>
    </row>
    <row r="74" spans="1:22" ht="34.5" hidden="1">
      <c r="B74" s="793" t="s">
        <v>300</v>
      </c>
      <c r="C74" s="814" t="s">
        <v>146</v>
      </c>
      <c r="D74" s="829">
        <v>5</v>
      </c>
      <c r="E74" s="829">
        <v>7</v>
      </c>
      <c r="F74" s="829"/>
      <c r="G74" s="860">
        <v>0.2</v>
      </c>
      <c r="H74" s="870"/>
      <c r="I74" s="870"/>
      <c r="J74" s="870"/>
      <c r="K74" s="870"/>
    </row>
    <row r="75" spans="1:22" ht="34.5" hidden="1">
      <c r="B75" s="793" t="s">
        <v>509</v>
      </c>
      <c r="C75" s="814" t="s">
        <v>522</v>
      </c>
      <c r="D75" s="829">
        <v>5</v>
      </c>
      <c r="E75" s="829">
        <v>7</v>
      </c>
      <c r="F75" s="829"/>
      <c r="G75" s="860">
        <v>0.2</v>
      </c>
      <c r="H75" s="870"/>
      <c r="I75" s="870"/>
      <c r="J75" s="870"/>
      <c r="K75" s="870"/>
    </row>
    <row r="76" spans="1:22" ht="34.5" hidden="1">
      <c r="B76" s="793" t="s">
        <v>510</v>
      </c>
      <c r="C76" s="814" t="s">
        <v>589</v>
      </c>
      <c r="D76" s="829">
        <v>5</v>
      </c>
      <c r="E76" s="829">
        <v>7</v>
      </c>
      <c r="F76" s="829"/>
      <c r="G76" s="860">
        <v>0.2</v>
      </c>
      <c r="H76" s="870"/>
      <c r="I76" s="870"/>
      <c r="J76" s="870"/>
      <c r="K76" s="870"/>
    </row>
    <row r="77" spans="1:22" ht="17.25" hidden="1">
      <c r="B77" s="793" t="s">
        <v>591</v>
      </c>
      <c r="C77" s="814" t="s">
        <v>592</v>
      </c>
      <c r="D77" s="829">
        <v>5</v>
      </c>
      <c r="E77" s="829">
        <v>7</v>
      </c>
      <c r="F77" s="829"/>
      <c r="G77" s="860">
        <v>0.2</v>
      </c>
      <c r="H77" s="870"/>
      <c r="I77" s="870"/>
      <c r="J77" s="870"/>
      <c r="K77" s="870"/>
    </row>
    <row r="78" spans="1:22" ht="17.25" hidden="1">
      <c r="B78" s="793" t="s">
        <v>459</v>
      </c>
      <c r="C78" s="814" t="s">
        <v>595</v>
      </c>
      <c r="D78" s="829">
        <v>5</v>
      </c>
      <c r="E78" s="829">
        <v>7</v>
      </c>
      <c r="F78" s="829"/>
      <c r="G78" s="860">
        <v>0.2</v>
      </c>
      <c r="H78" s="870"/>
      <c r="I78" s="870"/>
      <c r="J78" s="870"/>
      <c r="K78" s="870"/>
    </row>
    <row r="79" spans="1:22" ht="34.5" hidden="1">
      <c r="B79" s="793" t="s">
        <v>512</v>
      </c>
      <c r="C79" s="814" t="s">
        <v>551</v>
      </c>
      <c r="D79" s="829">
        <v>5</v>
      </c>
      <c r="E79" s="829">
        <v>7</v>
      </c>
      <c r="F79" s="829"/>
      <c r="G79" s="860">
        <v>0.2</v>
      </c>
      <c r="H79" s="870"/>
      <c r="I79" s="870"/>
      <c r="J79" s="870"/>
      <c r="K79" s="870"/>
    </row>
    <row r="80" spans="1:22" ht="17.25" hidden="1">
      <c r="B80" s="793" t="s">
        <v>115</v>
      </c>
      <c r="C80" s="814" t="s">
        <v>549</v>
      </c>
      <c r="D80" s="829">
        <v>5</v>
      </c>
      <c r="E80" s="829">
        <v>7</v>
      </c>
      <c r="F80" s="829"/>
      <c r="G80" s="860">
        <v>0.2</v>
      </c>
      <c r="H80" s="870"/>
      <c r="I80" s="870"/>
      <c r="J80" s="870"/>
      <c r="K80" s="870"/>
    </row>
    <row r="81" spans="2:11" ht="17.25" hidden="1">
      <c r="B81" s="793" t="s">
        <v>518</v>
      </c>
      <c r="C81" s="814" t="s">
        <v>137</v>
      </c>
      <c r="D81" s="829">
        <v>5</v>
      </c>
      <c r="E81" s="829">
        <v>7</v>
      </c>
      <c r="F81" s="829"/>
      <c r="G81" s="860">
        <v>0.2</v>
      </c>
      <c r="H81" s="870"/>
      <c r="I81" s="870"/>
      <c r="J81" s="870"/>
      <c r="K81" s="870"/>
    </row>
    <row r="82" spans="2:11" ht="34.5" hidden="1">
      <c r="B82" s="793" t="s">
        <v>520</v>
      </c>
      <c r="C82" s="814" t="s">
        <v>597</v>
      </c>
      <c r="D82" s="829">
        <v>5</v>
      </c>
      <c r="E82" s="829">
        <v>7</v>
      </c>
      <c r="F82" s="829"/>
      <c r="G82" s="860">
        <v>0.2</v>
      </c>
      <c r="H82" s="870"/>
      <c r="I82" s="870"/>
      <c r="J82" s="870"/>
      <c r="K82" s="870"/>
    </row>
    <row r="83" spans="2:11" ht="34.5" hidden="1">
      <c r="B83" s="793" t="s">
        <v>523</v>
      </c>
      <c r="C83" s="814" t="s">
        <v>578</v>
      </c>
      <c r="D83" s="829">
        <v>5</v>
      </c>
      <c r="E83" s="829">
        <v>7</v>
      </c>
      <c r="F83" s="829"/>
      <c r="G83" s="860">
        <v>0.2</v>
      </c>
      <c r="H83" s="870"/>
      <c r="I83" s="870"/>
      <c r="J83" s="870"/>
      <c r="K83" s="870"/>
    </row>
    <row r="84" spans="2:11" ht="17.25" hidden="1">
      <c r="B84" s="793" t="s">
        <v>170</v>
      </c>
      <c r="C84" s="814" t="s">
        <v>599</v>
      </c>
      <c r="D84" s="829">
        <v>5</v>
      </c>
      <c r="E84" s="829">
        <v>7</v>
      </c>
      <c r="F84" s="829"/>
      <c r="G84" s="860">
        <v>0.2</v>
      </c>
      <c r="H84" s="870"/>
      <c r="I84" s="870"/>
      <c r="J84" s="870"/>
      <c r="K84" s="870"/>
    </row>
    <row r="85" spans="2:11" ht="17.25" hidden="1">
      <c r="B85" s="793" t="s">
        <v>395</v>
      </c>
      <c r="C85" s="814" t="s">
        <v>600</v>
      </c>
      <c r="D85" s="829">
        <v>8</v>
      </c>
      <c r="E85" s="829">
        <v>7</v>
      </c>
      <c r="F85" s="829"/>
      <c r="G85" s="860">
        <v>0.125</v>
      </c>
      <c r="H85" s="870"/>
      <c r="I85" s="870"/>
      <c r="J85" s="870"/>
      <c r="K85" s="870"/>
    </row>
    <row r="86" spans="2:11" ht="17.25" hidden="1">
      <c r="B86" s="793" t="s">
        <v>394</v>
      </c>
      <c r="C86" s="814" t="s">
        <v>54</v>
      </c>
      <c r="D86" s="829">
        <v>8</v>
      </c>
      <c r="E86" s="829">
        <v>7</v>
      </c>
      <c r="F86" s="829"/>
      <c r="G86" s="860">
        <v>0.125</v>
      </c>
      <c r="H86" s="870"/>
      <c r="I86" s="870"/>
      <c r="J86" s="870"/>
      <c r="K86" s="870"/>
    </row>
    <row r="87" spans="2:11" ht="34.5" hidden="1">
      <c r="B87" s="793" t="s">
        <v>142</v>
      </c>
      <c r="C87" s="814" t="s">
        <v>601</v>
      </c>
      <c r="D87" s="829">
        <v>8</v>
      </c>
      <c r="E87" s="829">
        <v>7</v>
      </c>
      <c r="F87" s="829"/>
      <c r="G87" s="860">
        <v>0.125</v>
      </c>
      <c r="H87" s="870"/>
      <c r="I87" s="870"/>
      <c r="J87" s="870"/>
      <c r="K87" s="870"/>
    </row>
    <row r="88" spans="2:11" ht="34.5" hidden="1">
      <c r="B88" s="793" t="s">
        <v>526</v>
      </c>
      <c r="C88" s="814" t="s">
        <v>596</v>
      </c>
      <c r="D88" s="829">
        <v>8</v>
      </c>
      <c r="E88" s="829">
        <v>7</v>
      </c>
      <c r="F88" s="829"/>
      <c r="G88" s="860">
        <v>0.125</v>
      </c>
      <c r="H88" s="870"/>
      <c r="I88" s="870"/>
      <c r="J88" s="870"/>
      <c r="K88" s="870"/>
    </row>
    <row r="89" spans="2:11" ht="17.25" hidden="1">
      <c r="B89" s="793" t="s">
        <v>312</v>
      </c>
      <c r="C89" s="814" t="s">
        <v>524</v>
      </c>
      <c r="D89" s="829">
        <v>8</v>
      </c>
      <c r="E89" s="829">
        <v>7</v>
      </c>
      <c r="F89" s="829"/>
      <c r="G89" s="860">
        <v>0.125</v>
      </c>
      <c r="H89" s="870"/>
      <c r="I89" s="870"/>
      <c r="J89" s="870"/>
      <c r="K89" s="870"/>
    </row>
    <row r="90" spans="2:11" ht="17.25" hidden="1">
      <c r="B90" s="793" t="s">
        <v>157</v>
      </c>
      <c r="C90" s="814" t="s">
        <v>119</v>
      </c>
      <c r="D90" s="829">
        <v>5</v>
      </c>
      <c r="E90" s="829">
        <v>7</v>
      </c>
      <c r="F90" s="829"/>
      <c r="G90" s="860">
        <v>0.2</v>
      </c>
      <c r="H90" s="870"/>
      <c r="I90" s="870"/>
      <c r="J90" s="870"/>
      <c r="K90" s="870"/>
    </row>
    <row r="91" spans="2:11" ht="34.5" hidden="1">
      <c r="B91" s="793" t="s">
        <v>832</v>
      </c>
      <c r="C91" s="814">
        <v>311</v>
      </c>
      <c r="D91" s="829">
        <v>5</v>
      </c>
      <c r="E91" s="829">
        <v>7</v>
      </c>
      <c r="F91" s="829"/>
      <c r="G91" s="860">
        <v>0.2</v>
      </c>
      <c r="H91" s="870"/>
      <c r="I91" s="870"/>
      <c r="J91" s="870"/>
      <c r="K91" s="870"/>
    </row>
    <row r="92" spans="2:11" ht="17.25" hidden="1">
      <c r="B92" s="793" t="s">
        <v>528</v>
      </c>
      <c r="C92" s="814" t="s">
        <v>101</v>
      </c>
      <c r="D92" s="829">
        <v>5</v>
      </c>
      <c r="E92" s="829">
        <v>7</v>
      </c>
      <c r="F92" s="829"/>
      <c r="G92" s="860">
        <v>0.2</v>
      </c>
      <c r="H92" s="870"/>
      <c r="I92" s="870"/>
      <c r="J92" s="870"/>
      <c r="K92" s="870"/>
    </row>
    <row r="93" spans="2:11" ht="17.25" hidden="1">
      <c r="B93" s="793" t="s">
        <v>530</v>
      </c>
      <c r="C93" s="814" t="s">
        <v>107</v>
      </c>
      <c r="D93" s="829">
        <v>5</v>
      </c>
      <c r="E93" s="829">
        <v>7</v>
      </c>
      <c r="F93" s="829"/>
      <c r="G93" s="860">
        <v>0.2</v>
      </c>
      <c r="H93" s="870"/>
      <c r="I93" s="870"/>
      <c r="J93" s="870"/>
      <c r="K93" s="870"/>
    </row>
    <row r="94" spans="2:11" ht="17.25" hidden="1">
      <c r="B94" s="793" t="s">
        <v>531</v>
      </c>
      <c r="C94" s="814" t="s">
        <v>330</v>
      </c>
      <c r="D94" s="829">
        <v>3</v>
      </c>
      <c r="E94" s="829">
        <v>7</v>
      </c>
      <c r="F94" s="829"/>
      <c r="G94" s="860">
        <v>0.33300000000000002</v>
      </c>
      <c r="H94" s="870"/>
      <c r="I94" s="870"/>
      <c r="J94" s="870"/>
      <c r="K94" s="870"/>
    </row>
    <row r="95" spans="2:11" ht="17.25" hidden="1">
      <c r="B95" s="793" t="s">
        <v>532</v>
      </c>
      <c r="C95" s="814">
        <v>331</v>
      </c>
      <c r="D95" s="829">
        <v>5</v>
      </c>
      <c r="E95" s="829">
        <v>7</v>
      </c>
      <c r="F95" s="829"/>
      <c r="G95" s="860">
        <v>0.2</v>
      </c>
      <c r="H95" s="870"/>
      <c r="I95" s="870"/>
      <c r="J95" s="870"/>
      <c r="K95" s="870"/>
    </row>
    <row r="96" spans="2:11" ht="17.25" hidden="1">
      <c r="B96" s="793" t="s">
        <v>535</v>
      </c>
      <c r="C96" s="814" t="s">
        <v>340</v>
      </c>
      <c r="D96" s="829">
        <v>10</v>
      </c>
      <c r="E96" s="829">
        <v>7</v>
      </c>
      <c r="F96" s="829"/>
      <c r="G96" s="860">
        <v>0.1</v>
      </c>
      <c r="H96" s="870"/>
      <c r="I96" s="870"/>
      <c r="J96" s="870"/>
      <c r="K96" s="870"/>
    </row>
    <row r="97" spans="2:11" ht="17.25" hidden="1">
      <c r="B97" s="793" t="s">
        <v>7</v>
      </c>
      <c r="C97" s="814" t="s">
        <v>602</v>
      </c>
      <c r="D97" s="829">
        <v>8</v>
      </c>
      <c r="E97" s="829">
        <v>7</v>
      </c>
      <c r="F97" s="829"/>
      <c r="G97" s="860">
        <v>0.125</v>
      </c>
      <c r="H97" s="870"/>
      <c r="I97" s="870"/>
      <c r="J97" s="870"/>
      <c r="K97" s="870"/>
    </row>
    <row r="98" spans="2:11" ht="17.25" hidden="1">
      <c r="B98" s="793" t="s">
        <v>537</v>
      </c>
      <c r="C98" s="814" t="s">
        <v>605</v>
      </c>
      <c r="D98" s="829">
        <v>5</v>
      </c>
      <c r="E98" s="829">
        <v>7</v>
      </c>
      <c r="F98" s="829"/>
      <c r="G98" s="860">
        <v>0.2</v>
      </c>
      <c r="H98" s="870"/>
      <c r="I98" s="870"/>
      <c r="J98" s="870"/>
      <c r="K98" s="870"/>
    </row>
    <row r="99" spans="2:11" ht="34.5" hidden="1">
      <c r="B99" s="793" t="s">
        <v>540</v>
      </c>
      <c r="C99" s="814" t="s">
        <v>272</v>
      </c>
      <c r="D99" s="829">
        <v>5</v>
      </c>
      <c r="E99" s="829">
        <v>7</v>
      </c>
      <c r="F99" s="829"/>
      <c r="G99" s="860">
        <v>0.2</v>
      </c>
      <c r="H99" s="870"/>
      <c r="I99" s="870"/>
      <c r="J99" s="870"/>
      <c r="K99" s="870"/>
    </row>
    <row r="100" spans="2:11" ht="17.25" hidden="1">
      <c r="B100" s="793" t="s">
        <v>271</v>
      </c>
      <c r="C100" s="814" t="s">
        <v>607</v>
      </c>
      <c r="D100" s="829">
        <v>4</v>
      </c>
      <c r="E100" s="829">
        <v>7</v>
      </c>
      <c r="F100" s="829"/>
      <c r="G100" s="860">
        <v>0.25</v>
      </c>
      <c r="H100" s="870"/>
      <c r="I100" s="870"/>
      <c r="J100" s="870"/>
      <c r="K100" s="870"/>
    </row>
    <row r="101" spans="2:11" ht="17.25" hidden="1">
      <c r="B101" s="793" t="s">
        <v>452</v>
      </c>
      <c r="C101" s="814" t="s">
        <v>6</v>
      </c>
      <c r="D101" s="829">
        <v>5</v>
      </c>
      <c r="E101" s="829">
        <v>7</v>
      </c>
      <c r="F101" s="829"/>
      <c r="G101" s="860">
        <v>0.2</v>
      </c>
      <c r="H101" s="870"/>
      <c r="I101" s="870"/>
      <c r="J101" s="870"/>
      <c r="K101" s="870"/>
    </row>
    <row r="102" spans="2:11" ht="17.25" hidden="1">
      <c r="B102" s="793" t="s">
        <v>42</v>
      </c>
      <c r="C102" s="814" t="s">
        <v>521</v>
      </c>
      <c r="D102" s="829">
        <v>5</v>
      </c>
      <c r="E102" s="829">
        <v>7</v>
      </c>
      <c r="F102" s="829"/>
      <c r="G102" s="860">
        <v>0.2</v>
      </c>
      <c r="H102" s="870"/>
      <c r="I102" s="870"/>
      <c r="J102" s="870"/>
      <c r="K102" s="870"/>
    </row>
    <row r="103" spans="2:11" ht="17.25" hidden="1">
      <c r="B103" s="793" t="s">
        <v>529</v>
      </c>
      <c r="C103" s="814" t="s">
        <v>608</v>
      </c>
      <c r="D103" s="829">
        <v>5</v>
      </c>
      <c r="E103" s="829">
        <v>7</v>
      </c>
      <c r="F103" s="829"/>
      <c r="G103" s="860">
        <v>0.2</v>
      </c>
      <c r="H103" s="870"/>
      <c r="I103" s="870"/>
      <c r="J103" s="870"/>
      <c r="K103" s="870"/>
    </row>
    <row r="104" spans="2:11" ht="17.25" hidden="1">
      <c r="B104" s="793" t="s">
        <v>458</v>
      </c>
      <c r="C104" s="814" t="s">
        <v>427</v>
      </c>
      <c r="D104" s="829">
        <v>5</v>
      </c>
      <c r="E104" s="829">
        <v>7</v>
      </c>
      <c r="F104" s="829"/>
      <c r="G104" s="860">
        <v>0.2</v>
      </c>
      <c r="H104" s="870"/>
      <c r="I104" s="870"/>
      <c r="J104" s="870"/>
      <c r="K104" s="870"/>
    </row>
    <row r="105" spans="2:11" ht="17.25" hidden="1">
      <c r="B105" s="793" t="s">
        <v>497</v>
      </c>
      <c r="C105" s="814" t="s">
        <v>609</v>
      </c>
      <c r="D105" s="829">
        <v>5</v>
      </c>
      <c r="E105" s="829">
        <v>7</v>
      </c>
      <c r="F105" s="829"/>
      <c r="G105" s="860">
        <v>0.2</v>
      </c>
      <c r="H105" s="870"/>
      <c r="I105" s="870"/>
      <c r="J105" s="870"/>
      <c r="K105" s="870"/>
    </row>
    <row r="106" spans="2:11" ht="17.25" hidden="1">
      <c r="B106" s="793" t="s">
        <v>527</v>
      </c>
      <c r="C106" s="814" t="s">
        <v>611</v>
      </c>
      <c r="D106" s="829">
        <v>5</v>
      </c>
      <c r="E106" s="829">
        <v>7</v>
      </c>
      <c r="F106" s="829"/>
      <c r="G106" s="860">
        <v>0.2</v>
      </c>
      <c r="H106" s="870"/>
      <c r="I106" s="870"/>
      <c r="J106" s="870"/>
      <c r="K106" s="870"/>
    </row>
    <row r="107" spans="2:11" ht="17.25" hidden="1">
      <c r="B107" s="793" t="s">
        <v>322</v>
      </c>
      <c r="C107" s="814" t="s">
        <v>612</v>
      </c>
      <c r="D107" s="829">
        <v>5</v>
      </c>
      <c r="E107" s="829">
        <v>7</v>
      </c>
      <c r="F107" s="829"/>
      <c r="G107" s="860">
        <v>0.2</v>
      </c>
      <c r="H107" s="870"/>
      <c r="I107" s="870"/>
      <c r="J107" s="870"/>
      <c r="K107" s="870"/>
    </row>
    <row r="108" spans="2:11" ht="17.25" hidden="1">
      <c r="B108" s="793" t="s">
        <v>541</v>
      </c>
      <c r="C108" s="814" t="s">
        <v>575</v>
      </c>
      <c r="D108" s="829">
        <v>5</v>
      </c>
      <c r="E108" s="829">
        <v>7</v>
      </c>
      <c r="F108" s="829"/>
      <c r="G108" s="860">
        <v>0.2</v>
      </c>
      <c r="H108" s="870"/>
      <c r="I108" s="870"/>
      <c r="J108" s="870"/>
      <c r="K108" s="870"/>
    </row>
    <row r="109" spans="2:11" ht="17.25" hidden="1">
      <c r="B109" s="793" t="s">
        <v>543</v>
      </c>
      <c r="C109" s="814" t="s">
        <v>494</v>
      </c>
      <c r="D109" s="829">
        <v>4</v>
      </c>
      <c r="E109" s="829">
        <v>7</v>
      </c>
      <c r="F109" s="829"/>
      <c r="G109" s="860">
        <v>0.25</v>
      </c>
      <c r="H109" s="870"/>
      <c r="I109" s="870"/>
      <c r="J109" s="870"/>
      <c r="K109" s="870"/>
    </row>
    <row r="110" spans="2:11" ht="17.25" hidden="1">
      <c r="B110" s="793" t="s">
        <v>544</v>
      </c>
      <c r="C110" s="814" t="s">
        <v>404</v>
      </c>
      <c r="D110" s="829">
        <v>5</v>
      </c>
      <c r="E110" s="829">
        <v>7</v>
      </c>
      <c r="F110" s="829"/>
      <c r="G110" s="860">
        <v>0.2</v>
      </c>
      <c r="H110" s="870"/>
      <c r="I110" s="870"/>
      <c r="J110" s="870"/>
      <c r="K110" s="870"/>
    </row>
    <row r="111" spans="2:11" ht="17.25" hidden="1">
      <c r="B111" s="793" t="s">
        <v>167</v>
      </c>
      <c r="C111" s="814" t="s">
        <v>282</v>
      </c>
      <c r="D111" s="829">
        <v>10</v>
      </c>
      <c r="E111" s="829">
        <v>7</v>
      </c>
      <c r="F111" s="829"/>
      <c r="G111" s="860">
        <v>0.1</v>
      </c>
      <c r="H111" s="870"/>
      <c r="I111" s="870"/>
      <c r="J111" s="870"/>
      <c r="K111" s="870"/>
    </row>
    <row r="112" spans="2:11" ht="17.25" hidden="1">
      <c r="B112" s="793" t="s">
        <v>511</v>
      </c>
      <c r="C112" s="814" t="s">
        <v>314</v>
      </c>
      <c r="D112" s="829">
        <v>8</v>
      </c>
      <c r="E112" s="829">
        <v>7</v>
      </c>
      <c r="F112" s="829"/>
      <c r="G112" s="860">
        <v>0.125</v>
      </c>
      <c r="H112" s="870"/>
      <c r="I112" s="870"/>
      <c r="J112" s="870"/>
      <c r="K112" s="870"/>
    </row>
    <row r="113" spans="2:11" ht="17.25" hidden="1">
      <c r="B113" s="793" t="s">
        <v>336</v>
      </c>
      <c r="C113" s="814" t="s">
        <v>196</v>
      </c>
      <c r="D113" s="829">
        <v>5</v>
      </c>
      <c r="E113" s="829">
        <v>7</v>
      </c>
      <c r="F113" s="829"/>
      <c r="G113" s="860">
        <v>0.2</v>
      </c>
      <c r="H113" s="870"/>
      <c r="I113" s="870"/>
      <c r="J113" s="870"/>
      <c r="K113" s="870"/>
    </row>
    <row r="114" spans="2:11" ht="17.25" hidden="1">
      <c r="B114" s="793" t="s">
        <v>545</v>
      </c>
      <c r="C114" s="814" t="s">
        <v>613</v>
      </c>
      <c r="D114" s="829">
        <v>5</v>
      </c>
      <c r="E114" s="829">
        <v>7</v>
      </c>
      <c r="F114" s="829"/>
      <c r="G114" s="860">
        <v>0.2</v>
      </c>
      <c r="H114" s="870"/>
      <c r="I114" s="870"/>
      <c r="J114" s="870"/>
      <c r="K114" s="870"/>
    </row>
    <row r="115" spans="2:11" ht="17.25" hidden="1">
      <c r="B115" s="793" t="s">
        <v>546</v>
      </c>
      <c r="C115" s="814" t="s">
        <v>615</v>
      </c>
      <c r="D115" s="829">
        <v>8</v>
      </c>
      <c r="E115" s="829">
        <v>7</v>
      </c>
      <c r="F115" s="829"/>
      <c r="G115" s="860">
        <v>0.125</v>
      </c>
      <c r="H115" s="870"/>
      <c r="I115" s="870"/>
      <c r="J115" s="870"/>
      <c r="K115" s="870"/>
    </row>
    <row r="116" spans="2:11" ht="17.25" hidden="1">
      <c r="B116" s="793" t="s">
        <v>525</v>
      </c>
      <c r="C116" s="814" t="s">
        <v>469</v>
      </c>
      <c r="D116" s="829">
        <v>5</v>
      </c>
      <c r="E116" s="829">
        <v>7</v>
      </c>
      <c r="F116" s="829"/>
      <c r="G116" s="860">
        <v>0.2</v>
      </c>
      <c r="H116" s="870"/>
      <c r="I116" s="870"/>
      <c r="J116" s="870"/>
      <c r="K116" s="870"/>
    </row>
    <row r="117" spans="2:11" ht="17.25" hidden="1">
      <c r="B117" s="793" t="s">
        <v>547</v>
      </c>
      <c r="C117" s="814" t="s">
        <v>616</v>
      </c>
      <c r="D117" s="829">
        <v>5</v>
      </c>
      <c r="E117" s="829">
        <v>7</v>
      </c>
      <c r="F117" s="829"/>
      <c r="G117" s="860">
        <v>0.2</v>
      </c>
      <c r="H117" s="870"/>
      <c r="I117" s="870"/>
      <c r="J117" s="870"/>
      <c r="K117" s="870"/>
    </row>
    <row r="118" spans="2:11" ht="17.25" hidden="1">
      <c r="B118" s="793" t="s">
        <v>129</v>
      </c>
      <c r="C118" s="814" t="s">
        <v>334</v>
      </c>
      <c r="D118" s="829">
        <v>5</v>
      </c>
      <c r="E118" s="829">
        <v>7</v>
      </c>
      <c r="F118" s="829"/>
      <c r="G118" s="860">
        <v>0.2</v>
      </c>
      <c r="H118" s="870"/>
      <c r="I118" s="870"/>
      <c r="J118" s="870"/>
      <c r="K118" s="870"/>
    </row>
    <row r="119" spans="2:11" ht="17.25" hidden="1">
      <c r="B119" s="793" t="s">
        <v>548</v>
      </c>
      <c r="C119" s="814" t="s">
        <v>617</v>
      </c>
      <c r="D119" s="829">
        <v>5</v>
      </c>
      <c r="E119" s="829">
        <v>7</v>
      </c>
      <c r="F119" s="829"/>
      <c r="G119" s="860">
        <v>0.2</v>
      </c>
      <c r="H119" s="870"/>
      <c r="I119" s="870"/>
      <c r="J119" s="870"/>
      <c r="K119" s="870"/>
    </row>
    <row r="120" spans="2:11" ht="17.25" hidden="1">
      <c r="B120" s="793" t="s">
        <v>515</v>
      </c>
      <c r="C120" s="814" t="s">
        <v>108</v>
      </c>
      <c r="D120" s="829">
        <v>5</v>
      </c>
      <c r="E120" s="829">
        <v>7</v>
      </c>
      <c r="F120" s="829"/>
      <c r="G120" s="860">
        <v>0.2</v>
      </c>
      <c r="H120" s="870"/>
      <c r="I120" s="870"/>
      <c r="J120" s="870"/>
      <c r="K120" s="870"/>
    </row>
    <row r="121" spans="2:11" ht="17.25" hidden="1">
      <c r="B121" s="793" t="s">
        <v>66</v>
      </c>
      <c r="C121" s="814" t="s">
        <v>361</v>
      </c>
      <c r="D121" s="829">
        <v>5</v>
      </c>
      <c r="E121" s="829">
        <v>7</v>
      </c>
      <c r="F121" s="829"/>
      <c r="G121" s="860">
        <v>0.2</v>
      </c>
      <c r="H121" s="870"/>
      <c r="I121" s="870"/>
      <c r="J121" s="870"/>
      <c r="K121" s="870"/>
    </row>
    <row r="122" spans="2:11" ht="17.25" hidden="1">
      <c r="B122" s="793" t="s">
        <v>252</v>
      </c>
      <c r="C122" s="814" t="s">
        <v>618</v>
      </c>
      <c r="D122" s="829">
        <v>5</v>
      </c>
      <c r="E122" s="829">
        <v>7</v>
      </c>
      <c r="F122" s="829"/>
      <c r="G122" s="860">
        <v>0.2</v>
      </c>
      <c r="H122" s="870"/>
      <c r="I122" s="870"/>
      <c r="J122" s="870"/>
      <c r="K122" s="870"/>
    </row>
    <row r="123" spans="2:11" ht="17.25" hidden="1">
      <c r="B123" s="793" t="s">
        <v>175</v>
      </c>
      <c r="C123" s="814" t="s">
        <v>619</v>
      </c>
      <c r="D123" s="829">
        <v>8</v>
      </c>
      <c r="E123" s="829">
        <v>7</v>
      </c>
      <c r="F123" s="829"/>
      <c r="G123" s="860">
        <v>0.125</v>
      </c>
      <c r="H123" s="870"/>
      <c r="I123" s="870"/>
      <c r="J123" s="870"/>
      <c r="K123" s="870"/>
    </row>
    <row r="124" spans="2:11" ht="17.25" hidden="1">
      <c r="B124" s="793" t="s">
        <v>550</v>
      </c>
      <c r="C124" s="814" t="s">
        <v>620</v>
      </c>
      <c r="D124" s="829">
        <v>8</v>
      </c>
      <c r="E124" s="829">
        <v>7</v>
      </c>
      <c r="F124" s="829"/>
      <c r="G124" s="860">
        <v>0.125</v>
      </c>
      <c r="H124" s="870"/>
      <c r="I124" s="870"/>
      <c r="J124" s="870"/>
      <c r="K124" s="870"/>
    </row>
    <row r="125" spans="2:11" ht="17.25" hidden="1">
      <c r="B125" s="793" t="s">
        <v>554</v>
      </c>
      <c r="C125" s="814" t="s">
        <v>621</v>
      </c>
      <c r="D125" s="829">
        <v>5</v>
      </c>
      <c r="E125" s="829">
        <v>7</v>
      </c>
      <c r="F125" s="829"/>
      <c r="G125" s="860">
        <v>0.2</v>
      </c>
      <c r="H125" s="870"/>
      <c r="I125" s="870"/>
      <c r="J125" s="870"/>
      <c r="K125" s="870"/>
    </row>
    <row r="126" spans="2:11" ht="17.25" hidden="1">
      <c r="B126" s="793" t="s">
        <v>555</v>
      </c>
      <c r="C126" s="814" t="s">
        <v>623</v>
      </c>
      <c r="D126" s="829">
        <v>5</v>
      </c>
      <c r="E126" s="829">
        <v>7</v>
      </c>
      <c r="F126" s="829"/>
      <c r="G126" s="860">
        <v>0.2</v>
      </c>
      <c r="H126" s="870"/>
      <c r="I126" s="870"/>
      <c r="J126" s="870"/>
      <c r="K126" s="870"/>
    </row>
    <row r="127" spans="2:11" ht="17.25" hidden="1">
      <c r="B127" s="793" t="s">
        <v>556</v>
      </c>
      <c r="C127" s="814" t="s">
        <v>624</v>
      </c>
      <c r="D127" s="829">
        <v>5</v>
      </c>
      <c r="E127" s="829">
        <v>7</v>
      </c>
      <c r="F127" s="829"/>
      <c r="G127" s="860">
        <v>0.2</v>
      </c>
      <c r="H127" s="870"/>
      <c r="I127" s="870"/>
      <c r="J127" s="870"/>
      <c r="K127" s="870"/>
    </row>
    <row r="128" spans="2:11" ht="17.25" hidden="1">
      <c r="B128" s="793" t="s">
        <v>557</v>
      </c>
      <c r="C128" s="814" t="s">
        <v>474</v>
      </c>
      <c r="D128" s="829">
        <v>5</v>
      </c>
      <c r="E128" s="829">
        <v>7</v>
      </c>
      <c r="F128" s="829"/>
      <c r="G128" s="860">
        <v>0.2</v>
      </c>
      <c r="H128" s="870"/>
      <c r="I128" s="870"/>
      <c r="J128" s="870"/>
      <c r="K128" s="870"/>
    </row>
    <row r="129" spans="2:11" ht="17.25" hidden="1">
      <c r="B129" s="793" t="s">
        <v>392</v>
      </c>
      <c r="C129" s="814" t="s">
        <v>490</v>
      </c>
      <c r="D129" s="829">
        <v>5</v>
      </c>
      <c r="E129" s="829">
        <v>7</v>
      </c>
      <c r="F129" s="829"/>
      <c r="G129" s="860">
        <v>0.2</v>
      </c>
      <c r="H129" s="870"/>
      <c r="I129" s="870"/>
      <c r="J129" s="870"/>
      <c r="K129" s="870"/>
    </row>
    <row r="130" spans="2:11" ht="17.25" hidden="1">
      <c r="B130" s="793" t="s">
        <v>558</v>
      </c>
      <c r="C130" s="814" t="s">
        <v>178</v>
      </c>
      <c r="D130" s="829">
        <v>5</v>
      </c>
      <c r="E130" s="829">
        <v>7</v>
      </c>
      <c r="F130" s="829"/>
      <c r="G130" s="860">
        <v>0.2</v>
      </c>
      <c r="H130" s="870"/>
      <c r="I130" s="870"/>
      <c r="J130" s="870"/>
      <c r="K130" s="870"/>
    </row>
    <row r="131" spans="2:11" ht="17.25" hidden="1">
      <c r="B131" s="793" t="s">
        <v>11</v>
      </c>
      <c r="C131" s="814" t="s">
        <v>594</v>
      </c>
      <c r="D131" s="829">
        <v>5</v>
      </c>
      <c r="E131" s="829">
        <v>7</v>
      </c>
      <c r="F131" s="829"/>
      <c r="G131" s="860">
        <v>0.2</v>
      </c>
      <c r="H131" s="870"/>
      <c r="I131" s="870"/>
      <c r="J131" s="870"/>
      <c r="K131" s="870"/>
    </row>
    <row r="132" spans="2:11" ht="17.25" hidden="1">
      <c r="B132" s="793" t="s">
        <v>44</v>
      </c>
      <c r="C132" s="814" t="s">
        <v>296</v>
      </c>
      <c r="D132" s="829">
        <v>5</v>
      </c>
      <c r="E132" s="829">
        <v>7</v>
      </c>
      <c r="F132" s="829"/>
      <c r="G132" s="860">
        <v>0.2</v>
      </c>
      <c r="H132" s="870"/>
      <c r="I132" s="870"/>
      <c r="J132" s="870"/>
      <c r="K132" s="870"/>
    </row>
    <row r="133" spans="2:11" ht="17.25" hidden="1">
      <c r="B133" s="793" t="s">
        <v>561</v>
      </c>
      <c r="C133" s="814" t="s">
        <v>626</v>
      </c>
      <c r="D133" s="829">
        <v>15</v>
      </c>
      <c r="E133" s="829">
        <v>14</v>
      </c>
      <c r="F133" s="829"/>
      <c r="G133" s="860">
        <v>6.6000000000000003e-002</v>
      </c>
      <c r="H133" s="870"/>
      <c r="I133" s="870"/>
      <c r="J133" s="870"/>
      <c r="K133" s="870"/>
    </row>
    <row r="134" spans="2:11" ht="17.25" hidden="1">
      <c r="B134" s="793" t="s">
        <v>562</v>
      </c>
      <c r="C134" s="814" t="s">
        <v>627</v>
      </c>
      <c r="D134" s="829">
        <v>15</v>
      </c>
      <c r="E134" s="829">
        <v>14</v>
      </c>
      <c r="F134" s="829"/>
      <c r="G134" s="860">
        <v>6.6000000000000003e-002</v>
      </c>
      <c r="H134" s="870"/>
      <c r="I134" s="870"/>
      <c r="J134" s="870"/>
      <c r="K134" s="870"/>
    </row>
    <row r="135" spans="2:11" ht="34.5" hidden="1">
      <c r="B135" s="793" t="s">
        <v>310</v>
      </c>
      <c r="C135" s="814" t="s">
        <v>628</v>
      </c>
      <c r="D135" s="829">
        <v>15</v>
      </c>
      <c r="E135" s="829">
        <v>14</v>
      </c>
      <c r="F135" s="829"/>
      <c r="G135" s="860">
        <v>6.6000000000000003e-002</v>
      </c>
      <c r="H135" s="870"/>
      <c r="I135" s="870"/>
      <c r="J135" s="870"/>
      <c r="K135" s="870"/>
    </row>
    <row r="136" spans="2:11" ht="34.5" hidden="1">
      <c r="B136" s="793" t="s">
        <v>564</v>
      </c>
      <c r="C136" s="814" t="s">
        <v>565</v>
      </c>
      <c r="D136" s="829">
        <v>38</v>
      </c>
      <c r="E136" s="829">
        <v>38</v>
      </c>
      <c r="F136" s="829"/>
      <c r="G136" s="860">
        <v>2.7e-002</v>
      </c>
      <c r="H136" s="870"/>
      <c r="I136" s="870"/>
      <c r="J136" s="870"/>
      <c r="K136" s="870"/>
    </row>
    <row r="137" spans="2:11" ht="34.5" hidden="1">
      <c r="B137" s="793" t="s">
        <v>566</v>
      </c>
      <c r="C137" s="814" t="s">
        <v>630</v>
      </c>
      <c r="D137" s="829">
        <v>34</v>
      </c>
      <c r="E137" s="829">
        <v>34</v>
      </c>
      <c r="F137" s="829"/>
      <c r="G137" s="860">
        <v>3.e-002</v>
      </c>
      <c r="H137" s="870"/>
      <c r="I137" s="870"/>
      <c r="J137" s="870"/>
      <c r="K137" s="870"/>
    </row>
    <row r="138" spans="2:11" ht="34.5" hidden="1">
      <c r="B138" s="793" t="s">
        <v>631</v>
      </c>
      <c r="C138" s="814" t="s">
        <v>36</v>
      </c>
      <c r="D138" s="829">
        <v>15</v>
      </c>
      <c r="E138" s="829">
        <v>15</v>
      </c>
      <c r="F138" s="829"/>
      <c r="G138" s="860">
        <v>6.6000000000000003e-002</v>
      </c>
      <c r="H138" s="870"/>
      <c r="I138" s="870"/>
      <c r="J138" s="870"/>
      <c r="K138" s="870"/>
    </row>
    <row r="139" spans="2:11" ht="34.5" hidden="1">
      <c r="B139" s="793" t="s">
        <v>19</v>
      </c>
      <c r="C139" s="814" t="s">
        <v>634</v>
      </c>
      <c r="D139" s="829">
        <v>14</v>
      </c>
      <c r="E139" s="829">
        <v>14</v>
      </c>
      <c r="F139" s="829"/>
      <c r="G139" s="860">
        <v>7.0999999999999994e-002</v>
      </c>
      <c r="H139" s="870"/>
      <c r="I139" s="870"/>
      <c r="J139" s="870"/>
      <c r="K139" s="870"/>
    </row>
    <row r="140" spans="2:11" ht="17.25" hidden="1">
      <c r="B140" s="793" t="s">
        <v>567</v>
      </c>
      <c r="C140" s="814" t="s">
        <v>635</v>
      </c>
      <c r="D140" s="829">
        <v>4</v>
      </c>
      <c r="E140" s="829">
        <v>7</v>
      </c>
      <c r="F140" s="829"/>
      <c r="G140" s="860">
        <v>0.25</v>
      </c>
      <c r="H140" s="870"/>
      <c r="I140" s="870"/>
      <c r="J140" s="870"/>
      <c r="K140" s="870"/>
    </row>
    <row r="141" spans="2:11" ht="17.25" hidden="1">
      <c r="B141" s="793" t="s">
        <v>145</v>
      </c>
      <c r="C141" s="814" t="s">
        <v>638</v>
      </c>
      <c r="D141" s="829">
        <v>2</v>
      </c>
      <c r="E141" s="829">
        <v>2</v>
      </c>
      <c r="F141" s="829"/>
      <c r="G141" s="860">
        <v>0.5</v>
      </c>
      <c r="H141" s="870"/>
      <c r="I141" s="870"/>
      <c r="J141" s="870"/>
      <c r="K141" s="870"/>
    </row>
    <row r="142" spans="2:11" ht="17.25" hidden="1">
      <c r="B142" s="793" t="s">
        <v>74</v>
      </c>
      <c r="C142" s="814" t="s">
        <v>201</v>
      </c>
      <c r="D142" s="829">
        <v>15</v>
      </c>
      <c r="E142" s="829">
        <v>15</v>
      </c>
      <c r="F142" s="829"/>
      <c r="G142" s="860">
        <v>6.6000000000000003e-002</v>
      </c>
      <c r="H142" s="870"/>
      <c r="I142" s="870"/>
      <c r="J142" s="870"/>
      <c r="K142" s="870"/>
    </row>
    <row r="143" spans="2:11" ht="17.25" hidden="1">
      <c r="B143" s="793" t="s">
        <v>568</v>
      </c>
      <c r="C143" s="814" t="s">
        <v>419</v>
      </c>
      <c r="D143" s="829">
        <v>13</v>
      </c>
      <c r="E143" s="829">
        <v>13</v>
      </c>
      <c r="F143" s="829"/>
      <c r="G143" s="860">
        <v>7.5999999999999998e-002</v>
      </c>
      <c r="H143" s="870"/>
      <c r="I143" s="870"/>
      <c r="J143" s="870"/>
      <c r="K143" s="870"/>
    </row>
    <row r="144" spans="2:11" ht="17.25" hidden="1">
      <c r="B144" s="793" t="s">
        <v>569</v>
      </c>
      <c r="C144" s="814" t="s">
        <v>639</v>
      </c>
      <c r="D144" s="829">
        <v>8</v>
      </c>
      <c r="E144" s="829">
        <v>8</v>
      </c>
      <c r="F144" s="829"/>
      <c r="G144" s="860">
        <v>0.125</v>
      </c>
      <c r="H144" s="870"/>
      <c r="I144" s="870"/>
      <c r="J144" s="870"/>
      <c r="K144" s="870"/>
    </row>
    <row r="145" spans="2:11" ht="17.25" hidden="1">
      <c r="B145" s="793" t="s">
        <v>92</v>
      </c>
      <c r="C145" s="814" t="s">
        <v>588</v>
      </c>
      <c r="D145" s="829">
        <v>7</v>
      </c>
      <c r="E145" s="829">
        <v>7</v>
      </c>
      <c r="F145" s="829"/>
      <c r="G145" s="860">
        <v>0.14199999999999999</v>
      </c>
      <c r="H145" s="870"/>
      <c r="I145" s="870"/>
      <c r="J145" s="870"/>
      <c r="K145" s="870"/>
    </row>
    <row r="146" spans="2:11" ht="17.25" hidden="1">
      <c r="B146" s="793" t="s">
        <v>501</v>
      </c>
      <c r="C146" s="814" t="s">
        <v>116</v>
      </c>
      <c r="D146" s="829">
        <v>4</v>
      </c>
      <c r="E146" s="829">
        <v>4</v>
      </c>
      <c r="F146" s="829"/>
      <c r="G146" s="860">
        <v>0.25</v>
      </c>
      <c r="H146" s="870"/>
      <c r="I146" s="870"/>
      <c r="J146" s="870"/>
      <c r="K146" s="870"/>
    </row>
    <row r="147" spans="2:11" ht="17.25" hidden="1">
      <c r="B147" s="793" t="s">
        <v>168</v>
      </c>
      <c r="C147" s="814" t="s">
        <v>632</v>
      </c>
      <c r="D147" s="829">
        <v>10</v>
      </c>
      <c r="E147" s="829">
        <v>10</v>
      </c>
      <c r="F147" s="829"/>
      <c r="G147" s="860">
        <v>0.1</v>
      </c>
      <c r="H147" s="870"/>
      <c r="I147" s="870"/>
      <c r="J147" s="870"/>
      <c r="K147" s="870"/>
    </row>
    <row r="148" spans="2:11" ht="18" hidden="1">
      <c r="B148" s="794" t="s">
        <v>478</v>
      </c>
      <c r="C148" s="815" t="s">
        <v>641</v>
      </c>
      <c r="D148" s="830">
        <v>5</v>
      </c>
      <c r="E148" s="830">
        <v>5</v>
      </c>
      <c r="F148" s="830"/>
      <c r="G148" s="861">
        <v>0.2</v>
      </c>
    </row>
    <row r="149" spans="2:11" ht="17.25" hidden="1">
      <c r="B149" s="795" t="s">
        <v>581</v>
      </c>
    </row>
    <row r="150" spans="2:11" ht="17.25" hidden="1">
      <c r="B150" s="795" t="s">
        <v>581</v>
      </c>
    </row>
    <row r="151" spans="2:11" hidden="1"/>
  </sheetData>
  <mergeCells count="283">
    <mergeCell ref="A5:C5"/>
    <mergeCell ref="D5:E5"/>
    <mergeCell ref="F5:G5"/>
    <mergeCell ref="L5:N5"/>
    <mergeCell ref="O5:Q5"/>
    <mergeCell ref="R5:S5"/>
    <mergeCell ref="U5:V5"/>
    <mergeCell ref="X5:AA5"/>
    <mergeCell ref="AB5:AD5"/>
    <mergeCell ref="AE5:AF5"/>
    <mergeCell ref="AG5:AH5"/>
    <mergeCell ref="AI5:AL5"/>
    <mergeCell ref="AM5:AN5"/>
    <mergeCell ref="A6:C6"/>
    <mergeCell ref="D6:E6"/>
    <mergeCell ref="F6:G6"/>
    <mergeCell ref="L6:N6"/>
    <mergeCell ref="O6:Q6"/>
    <mergeCell ref="R6:S6"/>
    <mergeCell ref="U6:V6"/>
    <mergeCell ref="X6:AA6"/>
    <mergeCell ref="AB6:AD6"/>
    <mergeCell ref="AE6:AF6"/>
    <mergeCell ref="AG6:AH6"/>
    <mergeCell ref="AI6:AL6"/>
    <mergeCell ref="AM6:AN6"/>
    <mergeCell ref="A7:C7"/>
    <mergeCell ref="D7:E7"/>
    <mergeCell ref="F7:G7"/>
    <mergeCell ref="L7:N7"/>
    <mergeCell ref="O7:Q7"/>
    <mergeCell ref="R7:S7"/>
    <mergeCell ref="U7:V7"/>
    <mergeCell ref="X7:AA7"/>
    <mergeCell ref="AB7:AD7"/>
    <mergeCell ref="AE7:AF7"/>
    <mergeCell ref="AG7:AH7"/>
    <mergeCell ref="AI7:AL7"/>
    <mergeCell ref="AM7:AN7"/>
    <mergeCell ref="A8:C8"/>
    <mergeCell ref="D8:E8"/>
    <mergeCell ref="F8:G8"/>
    <mergeCell ref="L8:N8"/>
    <mergeCell ref="O8:Q8"/>
    <mergeCell ref="R8:S8"/>
    <mergeCell ref="U8:V8"/>
    <mergeCell ref="X8:AA8"/>
    <mergeCell ref="AB8:AD8"/>
    <mergeCell ref="AE8:AF8"/>
    <mergeCell ref="AG8:AH8"/>
    <mergeCell ref="AI8:AL8"/>
    <mergeCell ref="AM8:AN8"/>
    <mergeCell ref="A9:C9"/>
    <mergeCell ref="D9:E9"/>
    <mergeCell ref="F9:G9"/>
    <mergeCell ref="L9:N9"/>
    <mergeCell ref="O9:Q9"/>
    <mergeCell ref="R9:S9"/>
    <mergeCell ref="U9:V9"/>
    <mergeCell ref="X9:AA9"/>
    <mergeCell ref="AB9:AD9"/>
    <mergeCell ref="AE9:AF9"/>
    <mergeCell ref="AG9:AH9"/>
    <mergeCell ref="AI9:AL9"/>
    <mergeCell ref="AM9:AN9"/>
    <mergeCell ref="A10:C10"/>
    <mergeCell ref="D10:E10"/>
    <mergeCell ref="F10:G10"/>
    <mergeCell ref="L10:N10"/>
    <mergeCell ref="O10:Q10"/>
    <mergeCell ref="R10:S10"/>
    <mergeCell ref="U10:V10"/>
    <mergeCell ref="X10:AA10"/>
    <mergeCell ref="AB10:AD10"/>
    <mergeCell ref="AE10:AF10"/>
    <mergeCell ref="AG10:AH10"/>
    <mergeCell ref="AI10:AL10"/>
    <mergeCell ref="AM10:AN10"/>
    <mergeCell ref="A11:C11"/>
    <mergeCell ref="D11:E11"/>
    <mergeCell ref="F11:G11"/>
    <mergeCell ref="L11:N11"/>
    <mergeCell ref="O11:Q11"/>
    <mergeCell ref="R11:S11"/>
    <mergeCell ref="U11:V11"/>
    <mergeCell ref="X11:AA11"/>
    <mergeCell ref="AB11:AD11"/>
    <mergeCell ref="AE11:AF11"/>
    <mergeCell ref="AG11:AH11"/>
    <mergeCell ref="AI11:AL11"/>
    <mergeCell ref="AM11:AN11"/>
    <mergeCell ref="A12:C12"/>
    <mergeCell ref="D12:E12"/>
    <mergeCell ref="F12:G12"/>
    <mergeCell ref="L12:N12"/>
    <mergeCell ref="O12:Q12"/>
    <mergeCell ref="R12:S12"/>
    <mergeCell ref="U12:V12"/>
    <mergeCell ref="X12:AA12"/>
    <mergeCell ref="AB12:AD12"/>
    <mergeCell ref="AE12:AF12"/>
    <mergeCell ref="AG12:AH12"/>
    <mergeCell ref="AI12:AL12"/>
    <mergeCell ref="AM12:AN12"/>
    <mergeCell ref="A13:C13"/>
    <mergeCell ref="D13:G13"/>
    <mergeCell ref="L13:N13"/>
    <mergeCell ref="O13:Q13"/>
    <mergeCell ref="R13:S13"/>
    <mergeCell ref="U13:V13"/>
    <mergeCell ref="X13:AA13"/>
    <mergeCell ref="AB13:AD13"/>
    <mergeCell ref="AE13:AF13"/>
    <mergeCell ref="AG13:AH13"/>
    <mergeCell ref="AI13:AL13"/>
    <mergeCell ref="AM13:AN13"/>
    <mergeCell ref="B14:F14"/>
    <mergeCell ref="G14:P14"/>
    <mergeCell ref="A15:L15"/>
    <mergeCell ref="G16:P16"/>
    <mergeCell ref="G19:L19"/>
    <mergeCell ref="O19:P19"/>
    <mergeCell ref="Q19:U19"/>
    <mergeCell ref="G20:L20"/>
    <mergeCell ref="O20:P20"/>
    <mergeCell ref="Q20:U20"/>
    <mergeCell ref="G21:L21"/>
    <mergeCell ref="O21:P21"/>
    <mergeCell ref="Q21:U21"/>
    <mergeCell ref="G22:L22"/>
    <mergeCell ref="O22:P22"/>
    <mergeCell ref="Q22:U22"/>
    <mergeCell ref="G23:L23"/>
    <mergeCell ref="O23:P23"/>
    <mergeCell ref="Q23:U23"/>
    <mergeCell ref="G24:L24"/>
    <mergeCell ref="O24:P24"/>
    <mergeCell ref="Q24:U24"/>
    <mergeCell ref="G25:L25"/>
    <mergeCell ref="O25:P25"/>
    <mergeCell ref="Q25:U25"/>
    <mergeCell ref="G26:L26"/>
    <mergeCell ref="O26:P26"/>
    <mergeCell ref="Q26:U26"/>
    <mergeCell ref="G27:L27"/>
    <mergeCell ref="O27:P27"/>
    <mergeCell ref="Q27:U27"/>
    <mergeCell ref="G28:L28"/>
    <mergeCell ref="O28:P28"/>
    <mergeCell ref="Q28:U28"/>
    <mergeCell ref="G29:L29"/>
    <mergeCell ref="O29:P29"/>
    <mergeCell ref="Q29:U29"/>
    <mergeCell ref="G30:L30"/>
    <mergeCell ref="O30:P30"/>
    <mergeCell ref="Q30:U30"/>
    <mergeCell ref="G31:L31"/>
    <mergeCell ref="O31:P31"/>
    <mergeCell ref="Q31:U31"/>
    <mergeCell ref="G32:L32"/>
    <mergeCell ref="O32:P32"/>
    <mergeCell ref="Q32:U32"/>
    <mergeCell ref="G33:L33"/>
    <mergeCell ref="O33:P33"/>
    <mergeCell ref="Q33:U33"/>
    <mergeCell ref="G34:L34"/>
    <mergeCell ref="O34:P34"/>
    <mergeCell ref="Q34:U34"/>
    <mergeCell ref="G35:L35"/>
    <mergeCell ref="O35:P35"/>
    <mergeCell ref="Q35:U35"/>
    <mergeCell ref="G36:L36"/>
    <mergeCell ref="O36:P36"/>
    <mergeCell ref="Q36:U36"/>
    <mergeCell ref="G37:L37"/>
    <mergeCell ref="O37:P37"/>
    <mergeCell ref="Q37:U37"/>
    <mergeCell ref="G38:L38"/>
    <mergeCell ref="O38:P38"/>
    <mergeCell ref="Q38:U38"/>
    <mergeCell ref="G39:L39"/>
    <mergeCell ref="O39:P39"/>
    <mergeCell ref="Q39:U39"/>
    <mergeCell ref="G40:L40"/>
    <mergeCell ref="O40:P40"/>
    <mergeCell ref="Q40:U40"/>
    <mergeCell ref="G41:L41"/>
    <mergeCell ref="O41:P41"/>
    <mergeCell ref="Q41:U41"/>
    <mergeCell ref="G42:L42"/>
    <mergeCell ref="O42:P42"/>
    <mergeCell ref="Q42:U42"/>
    <mergeCell ref="G43:L43"/>
    <mergeCell ref="O43:P43"/>
    <mergeCell ref="Q43:U43"/>
    <mergeCell ref="G44:L44"/>
    <mergeCell ref="O44:P44"/>
    <mergeCell ref="Q44:U44"/>
    <mergeCell ref="G45:L45"/>
    <mergeCell ref="O45:P45"/>
    <mergeCell ref="Q45:U45"/>
    <mergeCell ref="G46:L46"/>
    <mergeCell ref="O46:P46"/>
    <mergeCell ref="Q46:U46"/>
    <mergeCell ref="G47:L47"/>
    <mergeCell ref="O47:P47"/>
    <mergeCell ref="Q47:U47"/>
    <mergeCell ref="G48:L48"/>
    <mergeCell ref="O48:P48"/>
    <mergeCell ref="Q48:U48"/>
    <mergeCell ref="G49:L49"/>
    <mergeCell ref="O49:P49"/>
    <mergeCell ref="Q49:U49"/>
    <mergeCell ref="G50:L50"/>
    <mergeCell ref="O50:P50"/>
    <mergeCell ref="Q50:U50"/>
    <mergeCell ref="G51:L51"/>
    <mergeCell ref="O51:P51"/>
    <mergeCell ref="Q51:U51"/>
    <mergeCell ref="G52:L52"/>
    <mergeCell ref="O52:P52"/>
    <mergeCell ref="Q52:U52"/>
    <mergeCell ref="G53:L53"/>
    <mergeCell ref="O53:P53"/>
    <mergeCell ref="Q53:U53"/>
    <mergeCell ref="G54:L54"/>
    <mergeCell ref="O54:P54"/>
    <mergeCell ref="Q54:U54"/>
    <mergeCell ref="G55:L55"/>
    <mergeCell ref="O55:P55"/>
    <mergeCell ref="Q55:U55"/>
    <mergeCell ref="G56:L56"/>
    <mergeCell ref="O56:P56"/>
    <mergeCell ref="Q56:U56"/>
    <mergeCell ref="G57:L57"/>
    <mergeCell ref="O57:P57"/>
    <mergeCell ref="Q57:U57"/>
    <mergeCell ref="G58:L58"/>
    <mergeCell ref="O58:P58"/>
    <mergeCell ref="Q58:U58"/>
    <mergeCell ref="G59:L59"/>
    <mergeCell ref="O59:P59"/>
    <mergeCell ref="Q59:U59"/>
    <mergeCell ref="G60:L60"/>
    <mergeCell ref="O60:P60"/>
    <mergeCell ref="Q60:U60"/>
    <mergeCell ref="G61:L61"/>
    <mergeCell ref="O61:P61"/>
    <mergeCell ref="Q61:U61"/>
    <mergeCell ref="G62:L62"/>
    <mergeCell ref="O62:P62"/>
    <mergeCell ref="Q62:U62"/>
    <mergeCell ref="G63:L63"/>
    <mergeCell ref="O63:P63"/>
    <mergeCell ref="Q63:U63"/>
    <mergeCell ref="G64:L64"/>
    <mergeCell ref="O64:P64"/>
    <mergeCell ref="Q64:U64"/>
    <mergeCell ref="Q65:U65"/>
    <mergeCell ref="A2:C4"/>
    <mergeCell ref="D2:E4"/>
    <mergeCell ref="F2:G4"/>
    <mergeCell ref="L2:N4"/>
    <mergeCell ref="O2:Q4"/>
    <mergeCell ref="R2:S4"/>
    <mergeCell ref="T2:T4"/>
    <mergeCell ref="U2:V4"/>
    <mergeCell ref="W2:W4"/>
    <mergeCell ref="X2:AA4"/>
    <mergeCell ref="AB2:AD4"/>
    <mergeCell ref="AE2:AF4"/>
    <mergeCell ref="AG2:AH4"/>
    <mergeCell ref="AI2:AL4"/>
    <mergeCell ref="AM2:AN4"/>
    <mergeCell ref="AO2:AO4"/>
    <mergeCell ref="AR2:AR4"/>
    <mergeCell ref="Q16:U18"/>
    <mergeCell ref="C17:C18"/>
    <mergeCell ref="D17:D18"/>
    <mergeCell ref="E17:E18"/>
    <mergeCell ref="L17:L18"/>
    <mergeCell ref="M17:M18"/>
    <mergeCell ref="O17:P18"/>
  </mergeCells>
  <phoneticPr fontId="5"/>
  <dataValidations count="2">
    <dataValidation imeMode="off" allowBlank="1" showDropDown="0" showInputMessage="1" showErrorMessage="1" sqref="E19:E64 D5:F12 AB5:AD12 T5:T12 AG5:AH12 G19:K64 L5:N12 C19:C64 M19:M64 O19:O64 W5:W12"/>
    <dataValidation type="list" allowBlank="1" showDropDown="0" showInputMessage="1" showErrorMessage="1" sqref="A5:C12">
      <formula1>$B$71:$B$151</formula1>
    </dataValidation>
  </dataValidations>
  <pageMargins left="0.39370078740157483" right="0.39370078740157483" top="0.39370078740157483" bottom="0.39370078740157483" header="0.31496062992125984" footer="0.31496062992125984"/>
  <pageSetup paperSize="9" scale="49" fitToWidth="1" fitToHeight="1" orientation="portrait" usePrinterDefaults="1" r:id="rId1"/>
  <rowBreaks count="2" manualBreakCount="2">
    <brk id="12" max="16383" man="1"/>
    <brk id="13" max="16383" man="1"/>
  </rowBreaks>
  <colBreaks count="1" manualBreakCount="1">
    <brk id="34"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A1:K58"/>
  <sheetViews>
    <sheetView view="pageBreakPreview" zoomScaleSheetLayoutView="100" workbookViewId="0">
      <pane ySplit="8" topLeftCell="A9" activePane="bottomLeft" state="frozen"/>
      <selection pane="bottomLeft" activeCell="D9" sqref="D9"/>
    </sheetView>
  </sheetViews>
  <sheetFormatPr defaultRowHeight="13.5"/>
  <cols>
    <col min="1" max="2" width="3.375" customWidth="1"/>
    <col min="3" max="3" width="16.5" customWidth="1"/>
    <col min="4" max="4" width="9" style="52" customWidth="1"/>
    <col min="5" max="5" width="7.5" customWidth="1"/>
    <col min="6" max="6" width="7.5" style="954" customWidth="1"/>
    <col min="7" max="7" width="10" style="955" customWidth="1"/>
    <col min="8" max="8" width="9.375" customWidth="1"/>
    <col min="9" max="9" width="12.5" customWidth="1"/>
    <col min="10" max="10" width="20.375" customWidth="1"/>
    <col min="11" max="11" width="3.25" customWidth="1"/>
  </cols>
  <sheetData>
    <row r="1" spans="1:11" s="51" customFormat="1" ht="25.5" customHeight="1">
      <c r="A1" s="208"/>
      <c r="B1" s="956" t="s">
        <v>256</v>
      </c>
      <c r="C1" s="956"/>
      <c r="D1" s="956"/>
      <c r="E1" s="956"/>
      <c r="F1" s="956"/>
      <c r="G1" s="956"/>
      <c r="H1" s="956"/>
      <c r="I1" s="956"/>
      <c r="J1" s="956"/>
      <c r="K1" s="208"/>
    </row>
    <row r="2" spans="1:11" ht="18.75">
      <c r="A2" s="208"/>
      <c r="B2" s="957" t="s">
        <v>200</v>
      </c>
      <c r="C2" s="957"/>
      <c r="D2" s="963"/>
      <c r="E2" s="957"/>
      <c r="F2" s="967"/>
      <c r="G2" s="969"/>
      <c r="H2" s="208"/>
      <c r="I2" s="208"/>
      <c r="J2" s="208"/>
      <c r="K2" s="208"/>
    </row>
    <row r="3" spans="1:11" ht="14.25" customHeight="1">
      <c r="A3" s="208"/>
      <c r="B3" s="959" t="s">
        <v>453</v>
      </c>
      <c r="C3" s="959"/>
      <c r="D3" s="959"/>
      <c r="E3" s="959"/>
      <c r="F3" s="959"/>
      <c r="G3" s="959"/>
      <c r="H3" s="208"/>
      <c r="I3" s="208"/>
      <c r="J3" s="208"/>
      <c r="K3" s="208"/>
    </row>
    <row r="4" spans="1:11">
      <c r="A4" s="208"/>
      <c r="B4" s="959"/>
      <c r="C4" s="959"/>
      <c r="D4" s="959"/>
      <c r="E4" s="959"/>
      <c r="F4" s="959"/>
      <c r="G4" s="970" t="s">
        <v>91</v>
      </c>
      <c r="H4" s="975">
        <f>IF(G54="","",G54-100)</f>
        <v>0</v>
      </c>
      <c r="I4" s="981" t="s">
        <v>212</v>
      </c>
      <c r="J4" s="987"/>
      <c r="K4" s="208"/>
    </row>
    <row r="5" spans="1:11">
      <c r="A5" s="208"/>
      <c r="B5" s="959"/>
      <c r="C5" s="959"/>
      <c r="D5" s="959"/>
      <c r="E5" s="959"/>
      <c r="F5" s="959"/>
      <c r="G5" s="971" t="s">
        <v>215</v>
      </c>
      <c r="H5" s="976" t="str">
        <f>IF(H4=0,"調整を行なう必要はありません","調整を行なってください")</f>
        <v>調整を行なう必要はありません</v>
      </c>
      <c r="I5" s="982"/>
      <c r="J5" s="988"/>
      <c r="K5" s="208"/>
    </row>
    <row r="6" spans="1:11" ht="14.25">
      <c r="A6" s="208"/>
      <c r="B6" s="959"/>
      <c r="C6" s="959"/>
      <c r="D6" s="959"/>
      <c r="E6" s="959"/>
      <c r="F6" s="959"/>
      <c r="G6" s="972"/>
      <c r="H6" s="977" t="str">
        <f>IF(I54=100,"ok按分率の計は100/100です","調整が行なわれていないか調整が不適切です")</f>
        <v>ok按分率の計は100/100です</v>
      </c>
      <c r="I6" s="983"/>
      <c r="J6" s="989"/>
      <c r="K6" s="208"/>
    </row>
    <row r="7" spans="1:11">
      <c r="A7" s="208"/>
      <c r="B7" s="958"/>
      <c r="C7" s="958"/>
      <c r="D7" s="958"/>
      <c r="E7" s="958"/>
      <c r="F7" s="958"/>
      <c r="G7" s="958"/>
      <c r="H7" s="978">
        <f>I54-100</f>
        <v>0</v>
      </c>
      <c r="I7" s="984"/>
      <c r="J7" s="984"/>
      <c r="K7" s="208"/>
    </row>
    <row r="8" spans="1:11">
      <c r="A8" s="208"/>
      <c r="B8" s="960"/>
      <c r="C8" s="962" t="s">
        <v>219</v>
      </c>
      <c r="D8" s="964" t="s">
        <v>206</v>
      </c>
      <c r="E8" s="962" t="s">
        <v>176</v>
      </c>
      <c r="F8" s="962"/>
      <c r="G8" s="973" t="s">
        <v>179</v>
      </c>
      <c r="H8" s="962" t="s">
        <v>208</v>
      </c>
      <c r="I8" s="985" t="s">
        <v>221</v>
      </c>
      <c r="J8" s="990"/>
      <c r="K8" s="208"/>
    </row>
    <row r="9" spans="1:11">
      <c r="A9" s="208"/>
      <c r="B9" s="961">
        <f>'1.入力表'!C19</f>
        <v>1</v>
      </c>
      <c r="C9" s="961" t="str">
        <f>'1.入力表'!D19</f>
        <v>十神　どじょ夫</v>
      </c>
      <c r="D9" s="964">
        <f>'1.入力表'!F19</f>
        <v>10000</v>
      </c>
      <c r="E9" s="966">
        <f t="shared" ref="E9:E54" si="0">D9/$D$54</f>
        <v>0.1</v>
      </c>
      <c r="F9" s="968">
        <f t="shared" ref="F9:F53" si="1">E9</f>
        <v>0.1</v>
      </c>
      <c r="G9" s="974">
        <f t="shared" ref="G9:G53" si="2">ROUND(D9/$D$54,2)*100</f>
        <v>10</v>
      </c>
      <c r="H9" s="979"/>
      <c r="I9" s="986">
        <f t="shared" ref="I9:I53" si="3">G9+H9</f>
        <v>10</v>
      </c>
      <c r="J9" s="991" t="s">
        <v>56</v>
      </c>
      <c r="K9" s="208"/>
    </row>
    <row r="10" spans="1:11">
      <c r="A10" s="208"/>
      <c r="B10" s="961">
        <f>'1.入力表'!C20</f>
        <v>2</v>
      </c>
      <c r="C10" s="961" t="str">
        <f>'1.入力表'!D20</f>
        <v>社日　さくら</v>
      </c>
      <c r="D10" s="964">
        <f>'1.入力表'!F20</f>
        <v>10000</v>
      </c>
      <c r="E10" s="966">
        <f t="shared" si="0"/>
        <v>0.1</v>
      </c>
      <c r="F10" s="968">
        <f t="shared" si="1"/>
        <v>0.1</v>
      </c>
      <c r="G10" s="974">
        <f t="shared" si="2"/>
        <v>10</v>
      </c>
      <c r="H10" s="979"/>
      <c r="I10" s="986">
        <f t="shared" si="3"/>
        <v>10</v>
      </c>
      <c r="J10" s="991" t="s">
        <v>56</v>
      </c>
      <c r="K10" s="208"/>
    </row>
    <row r="11" spans="1:11">
      <c r="A11" s="208"/>
      <c r="B11" s="961">
        <f>'1.入力表'!C21</f>
        <v>3</v>
      </c>
      <c r="C11" s="961" t="str">
        <f>'1.入力表'!D21</f>
        <v>尼子　経久</v>
      </c>
      <c r="D11" s="964">
        <f>'1.入力表'!F21</f>
        <v>0</v>
      </c>
      <c r="E11" s="966">
        <f t="shared" si="0"/>
        <v>0</v>
      </c>
      <c r="F11" s="968">
        <f t="shared" si="1"/>
        <v>0</v>
      </c>
      <c r="G11" s="974">
        <f t="shared" si="2"/>
        <v>0</v>
      </c>
      <c r="H11" s="979"/>
      <c r="I11" s="986">
        <f t="shared" si="3"/>
        <v>0</v>
      </c>
      <c r="J11" s="991" t="s">
        <v>56</v>
      </c>
      <c r="K11" s="208"/>
    </row>
    <row r="12" spans="1:11">
      <c r="A12" s="208"/>
      <c r="B12" s="961">
        <f>'1.入力表'!C22</f>
        <v>4</v>
      </c>
      <c r="C12" s="961" t="str">
        <f>'1.入力表'!D22</f>
        <v>尼子　晴久</v>
      </c>
      <c r="D12" s="964">
        <f>'1.入力表'!F22</f>
        <v>10000</v>
      </c>
      <c r="E12" s="966">
        <f t="shared" si="0"/>
        <v>0.1</v>
      </c>
      <c r="F12" s="968">
        <f t="shared" si="1"/>
        <v>0.1</v>
      </c>
      <c r="G12" s="974">
        <f t="shared" si="2"/>
        <v>10</v>
      </c>
      <c r="H12" s="979"/>
      <c r="I12" s="986">
        <f t="shared" si="3"/>
        <v>10</v>
      </c>
      <c r="J12" s="991" t="s">
        <v>56</v>
      </c>
      <c r="K12" s="208"/>
    </row>
    <row r="13" spans="1:11">
      <c r="A13" s="208"/>
      <c r="B13" s="961">
        <f>'1.入力表'!C23</f>
        <v>5</v>
      </c>
      <c r="C13" s="961" t="str">
        <f>'1.入力表'!D23</f>
        <v>比婆山　茶太郎</v>
      </c>
      <c r="D13" s="964">
        <f>'1.入力表'!F23</f>
        <v>10000</v>
      </c>
      <c r="E13" s="966">
        <f t="shared" si="0"/>
        <v>0.1</v>
      </c>
      <c r="F13" s="968">
        <f t="shared" si="1"/>
        <v>0.1</v>
      </c>
      <c r="G13" s="974">
        <f t="shared" si="2"/>
        <v>10</v>
      </c>
      <c r="H13" s="979"/>
      <c r="I13" s="986">
        <f t="shared" si="3"/>
        <v>10</v>
      </c>
      <c r="J13" s="991" t="s">
        <v>56</v>
      </c>
      <c r="K13" s="208"/>
    </row>
    <row r="14" spans="1:11">
      <c r="A14" s="208"/>
      <c r="B14" s="961">
        <f>'1.入力表'!C24</f>
        <v>6</v>
      </c>
      <c r="C14" s="961" t="str">
        <f>'1.入力表'!D24</f>
        <v>広瀬　二郎</v>
      </c>
      <c r="D14" s="964">
        <f>'1.入力表'!F24</f>
        <v>10000</v>
      </c>
      <c r="E14" s="966">
        <f t="shared" si="0"/>
        <v>0.1</v>
      </c>
      <c r="F14" s="968">
        <f t="shared" si="1"/>
        <v>0.1</v>
      </c>
      <c r="G14" s="974">
        <f t="shared" si="2"/>
        <v>10</v>
      </c>
      <c r="H14" s="979"/>
      <c r="I14" s="986">
        <f t="shared" si="3"/>
        <v>10</v>
      </c>
      <c r="J14" s="991" t="s">
        <v>56</v>
      </c>
      <c r="K14" s="208"/>
    </row>
    <row r="15" spans="1:11">
      <c r="A15" s="208"/>
      <c r="B15" s="961">
        <f>'1.入力表'!C25</f>
        <v>7</v>
      </c>
      <c r="C15" s="961" t="str">
        <f>'1.入力表'!D25</f>
        <v>月山　かすり</v>
      </c>
      <c r="D15" s="964">
        <f>'1.入力表'!F25</f>
        <v>10000</v>
      </c>
      <c r="E15" s="966">
        <f t="shared" si="0"/>
        <v>0.1</v>
      </c>
      <c r="F15" s="968">
        <f t="shared" si="1"/>
        <v>0.1</v>
      </c>
      <c r="G15" s="974">
        <f t="shared" si="2"/>
        <v>10</v>
      </c>
      <c r="H15" s="979"/>
      <c r="I15" s="986">
        <f t="shared" si="3"/>
        <v>10</v>
      </c>
      <c r="J15" s="991" t="s">
        <v>56</v>
      </c>
      <c r="K15" s="208"/>
    </row>
    <row r="16" spans="1:11">
      <c r="A16" s="208"/>
      <c r="B16" s="961">
        <f>'1.入力表'!C26</f>
        <v>8</v>
      </c>
      <c r="C16" s="961" t="str">
        <f>'1.入力表'!D26</f>
        <v>富田　城</v>
      </c>
      <c r="D16" s="964">
        <f>'1.入力表'!F26</f>
        <v>10000</v>
      </c>
      <c r="E16" s="966">
        <f t="shared" si="0"/>
        <v>0.1</v>
      </c>
      <c r="F16" s="968">
        <f t="shared" si="1"/>
        <v>0.1</v>
      </c>
      <c r="G16" s="974">
        <f t="shared" si="2"/>
        <v>10</v>
      </c>
      <c r="H16" s="979"/>
      <c r="I16" s="986">
        <f t="shared" si="3"/>
        <v>10</v>
      </c>
      <c r="J16" s="991" t="s">
        <v>56</v>
      </c>
      <c r="K16" s="208"/>
    </row>
    <row r="17" spans="1:11">
      <c r="A17" s="208"/>
      <c r="B17" s="961">
        <f>'1.入力表'!C27</f>
        <v>9</v>
      </c>
      <c r="C17" s="961" t="str">
        <f>'1.入力表'!D27</f>
        <v>山中　鹿介</v>
      </c>
      <c r="D17" s="964">
        <f>'1.入力表'!F27</f>
        <v>10000</v>
      </c>
      <c r="E17" s="966">
        <f t="shared" si="0"/>
        <v>0.1</v>
      </c>
      <c r="F17" s="968">
        <f t="shared" si="1"/>
        <v>0.1</v>
      </c>
      <c r="G17" s="974">
        <f t="shared" si="2"/>
        <v>10</v>
      </c>
      <c r="H17" s="979"/>
      <c r="I17" s="986">
        <f t="shared" si="3"/>
        <v>10</v>
      </c>
      <c r="J17" s="991" t="s">
        <v>56</v>
      </c>
      <c r="K17" s="208"/>
    </row>
    <row r="18" spans="1:11">
      <c r="A18" s="208"/>
      <c r="B18" s="961">
        <f>'1.入力表'!C28</f>
        <v>10</v>
      </c>
      <c r="C18" s="961" t="str">
        <f>'1.入力表'!D28</f>
        <v>安来　一郎</v>
      </c>
      <c r="D18" s="964">
        <f>'1.入力表'!F28</f>
        <v>10000</v>
      </c>
      <c r="E18" s="966">
        <f t="shared" si="0"/>
        <v>0.1</v>
      </c>
      <c r="F18" s="968">
        <f t="shared" si="1"/>
        <v>0.1</v>
      </c>
      <c r="G18" s="974">
        <f t="shared" si="2"/>
        <v>10</v>
      </c>
      <c r="H18" s="979"/>
      <c r="I18" s="986">
        <f t="shared" si="3"/>
        <v>10</v>
      </c>
      <c r="J18" s="991" t="s">
        <v>56</v>
      </c>
      <c r="K18" s="208"/>
    </row>
    <row r="19" spans="1:11">
      <c r="A19" s="208"/>
      <c r="B19" s="961">
        <f>'1.入力表'!C29</f>
        <v>11</v>
      </c>
      <c r="C19" s="961" t="str">
        <f>'1.入力表'!D29</f>
        <v>伯太　三郎</v>
      </c>
      <c r="D19" s="964">
        <f>'1.入力表'!F29</f>
        <v>10000</v>
      </c>
      <c r="E19" s="966">
        <f t="shared" si="0"/>
        <v>0.1</v>
      </c>
      <c r="F19" s="968">
        <f t="shared" si="1"/>
        <v>0.1</v>
      </c>
      <c r="G19" s="974">
        <f t="shared" si="2"/>
        <v>10</v>
      </c>
      <c r="H19" s="979"/>
      <c r="I19" s="986">
        <f t="shared" si="3"/>
        <v>10</v>
      </c>
      <c r="J19" s="991" t="s">
        <v>56</v>
      </c>
      <c r="K19" s="208"/>
    </row>
    <row r="20" spans="1:11">
      <c r="A20" s="208"/>
      <c r="B20" s="961">
        <f>'1.入力表'!C30</f>
        <v>12</v>
      </c>
      <c r="C20" s="961">
        <f>'1.入力表'!D30</f>
        <v>0</v>
      </c>
      <c r="D20" s="964">
        <f>'1.入力表'!F30</f>
        <v>0</v>
      </c>
      <c r="E20" s="966">
        <f t="shared" si="0"/>
        <v>0</v>
      </c>
      <c r="F20" s="968">
        <f t="shared" si="1"/>
        <v>0</v>
      </c>
      <c r="G20" s="974">
        <f t="shared" si="2"/>
        <v>0</v>
      </c>
      <c r="H20" s="979"/>
      <c r="I20" s="986">
        <f t="shared" si="3"/>
        <v>0</v>
      </c>
      <c r="J20" s="991" t="s">
        <v>56</v>
      </c>
      <c r="K20" s="208"/>
    </row>
    <row r="21" spans="1:11">
      <c r="A21" s="208"/>
      <c r="B21" s="961">
        <f>'1.入力表'!C31</f>
        <v>13</v>
      </c>
      <c r="C21" s="961">
        <f>'1.入力表'!D31</f>
        <v>0</v>
      </c>
      <c r="D21" s="964">
        <f>'1.入力表'!F31</f>
        <v>0</v>
      </c>
      <c r="E21" s="966">
        <f t="shared" si="0"/>
        <v>0</v>
      </c>
      <c r="F21" s="968">
        <f t="shared" si="1"/>
        <v>0</v>
      </c>
      <c r="G21" s="974">
        <f t="shared" si="2"/>
        <v>0</v>
      </c>
      <c r="H21" s="979"/>
      <c r="I21" s="986">
        <f t="shared" si="3"/>
        <v>0</v>
      </c>
      <c r="J21" s="991" t="s">
        <v>56</v>
      </c>
      <c r="K21" s="208"/>
    </row>
    <row r="22" spans="1:11">
      <c r="A22" s="208"/>
      <c r="B22" s="961">
        <f>'1.入力表'!C32</f>
        <v>14</v>
      </c>
      <c r="C22" s="961">
        <f>'1.入力表'!D32</f>
        <v>0</v>
      </c>
      <c r="D22" s="964">
        <f>'1.入力表'!F32</f>
        <v>0</v>
      </c>
      <c r="E22" s="966">
        <f t="shared" si="0"/>
        <v>0</v>
      </c>
      <c r="F22" s="968">
        <f t="shared" si="1"/>
        <v>0</v>
      </c>
      <c r="G22" s="974">
        <f t="shared" si="2"/>
        <v>0</v>
      </c>
      <c r="H22" s="979"/>
      <c r="I22" s="986">
        <f t="shared" si="3"/>
        <v>0</v>
      </c>
      <c r="J22" s="991" t="s">
        <v>56</v>
      </c>
      <c r="K22" s="208"/>
    </row>
    <row r="23" spans="1:11">
      <c r="A23" s="208"/>
      <c r="B23" s="961">
        <f>'1.入力表'!C33</f>
        <v>15</v>
      </c>
      <c r="C23" s="961">
        <f>'1.入力表'!D33</f>
        <v>0</v>
      </c>
      <c r="D23" s="964">
        <f>'1.入力表'!F33</f>
        <v>0</v>
      </c>
      <c r="E23" s="966">
        <f t="shared" si="0"/>
        <v>0</v>
      </c>
      <c r="F23" s="968">
        <f t="shared" si="1"/>
        <v>0</v>
      </c>
      <c r="G23" s="974">
        <f t="shared" si="2"/>
        <v>0</v>
      </c>
      <c r="H23" s="979"/>
      <c r="I23" s="986">
        <f t="shared" si="3"/>
        <v>0</v>
      </c>
      <c r="J23" s="991" t="s">
        <v>56</v>
      </c>
      <c r="K23" s="208"/>
    </row>
    <row r="24" spans="1:11">
      <c r="A24" s="208"/>
      <c r="B24" s="961">
        <f>'1.入力表'!C34</f>
        <v>16</v>
      </c>
      <c r="C24" s="961">
        <f>'1.入力表'!D34</f>
        <v>0</v>
      </c>
      <c r="D24" s="964">
        <f>'1.入力表'!F34</f>
        <v>0</v>
      </c>
      <c r="E24" s="966">
        <f t="shared" si="0"/>
        <v>0</v>
      </c>
      <c r="F24" s="968">
        <f t="shared" si="1"/>
        <v>0</v>
      </c>
      <c r="G24" s="974">
        <f t="shared" si="2"/>
        <v>0</v>
      </c>
      <c r="H24" s="979"/>
      <c r="I24" s="986">
        <f t="shared" si="3"/>
        <v>0</v>
      </c>
      <c r="J24" s="991" t="s">
        <v>56</v>
      </c>
      <c r="K24" s="208"/>
    </row>
    <row r="25" spans="1:11">
      <c r="A25" s="208"/>
      <c r="B25" s="961">
        <f>'1.入力表'!C35</f>
        <v>17</v>
      </c>
      <c r="C25" s="961">
        <f>'1.入力表'!D35</f>
        <v>0</v>
      </c>
      <c r="D25" s="964">
        <f>'1.入力表'!F35</f>
        <v>0</v>
      </c>
      <c r="E25" s="966">
        <f t="shared" si="0"/>
        <v>0</v>
      </c>
      <c r="F25" s="968">
        <f t="shared" si="1"/>
        <v>0</v>
      </c>
      <c r="G25" s="974">
        <f t="shared" si="2"/>
        <v>0</v>
      </c>
      <c r="H25" s="979"/>
      <c r="I25" s="986">
        <f t="shared" si="3"/>
        <v>0</v>
      </c>
      <c r="J25" s="991" t="s">
        <v>56</v>
      </c>
      <c r="K25" s="208"/>
    </row>
    <row r="26" spans="1:11">
      <c r="A26" s="208"/>
      <c r="B26" s="961">
        <f>'1.入力表'!C36</f>
        <v>18</v>
      </c>
      <c r="C26" s="961">
        <f>'1.入力表'!D36</f>
        <v>0</v>
      </c>
      <c r="D26" s="964">
        <f>'1.入力表'!F36</f>
        <v>0</v>
      </c>
      <c r="E26" s="966">
        <f t="shared" si="0"/>
        <v>0</v>
      </c>
      <c r="F26" s="968">
        <f t="shared" si="1"/>
        <v>0</v>
      </c>
      <c r="G26" s="974">
        <f t="shared" si="2"/>
        <v>0</v>
      </c>
      <c r="H26" s="979"/>
      <c r="I26" s="986">
        <f t="shared" si="3"/>
        <v>0</v>
      </c>
      <c r="J26" s="991" t="s">
        <v>56</v>
      </c>
      <c r="K26" s="208"/>
    </row>
    <row r="27" spans="1:11">
      <c r="A27" s="208"/>
      <c r="B27" s="961">
        <f>'1.入力表'!C37</f>
        <v>19</v>
      </c>
      <c r="C27" s="961">
        <f>'1.入力表'!D37</f>
        <v>0</v>
      </c>
      <c r="D27" s="964">
        <f>'1.入力表'!F37</f>
        <v>0</v>
      </c>
      <c r="E27" s="966">
        <f t="shared" si="0"/>
        <v>0</v>
      </c>
      <c r="F27" s="968">
        <f t="shared" si="1"/>
        <v>0</v>
      </c>
      <c r="G27" s="974">
        <f t="shared" si="2"/>
        <v>0</v>
      </c>
      <c r="H27" s="979"/>
      <c r="I27" s="986">
        <f t="shared" si="3"/>
        <v>0</v>
      </c>
      <c r="J27" s="991" t="s">
        <v>56</v>
      </c>
      <c r="K27" s="208"/>
    </row>
    <row r="28" spans="1:11">
      <c r="A28" s="208"/>
      <c r="B28" s="961">
        <f>'1.入力表'!C38</f>
        <v>20</v>
      </c>
      <c r="C28" s="961">
        <f>'1.入力表'!D38</f>
        <v>0</v>
      </c>
      <c r="D28" s="964">
        <f>'1.入力表'!F38</f>
        <v>0</v>
      </c>
      <c r="E28" s="966">
        <f t="shared" si="0"/>
        <v>0</v>
      </c>
      <c r="F28" s="968">
        <f t="shared" si="1"/>
        <v>0</v>
      </c>
      <c r="G28" s="974">
        <f t="shared" si="2"/>
        <v>0</v>
      </c>
      <c r="H28" s="979"/>
      <c r="I28" s="986">
        <f t="shared" si="3"/>
        <v>0</v>
      </c>
      <c r="J28" s="991" t="s">
        <v>56</v>
      </c>
      <c r="K28" s="208"/>
    </row>
    <row r="29" spans="1:11">
      <c r="A29" s="208"/>
      <c r="B29" s="961">
        <f>'1.入力表'!C39</f>
        <v>21</v>
      </c>
      <c r="C29" s="961">
        <f>'1.入力表'!D39</f>
        <v>0</v>
      </c>
      <c r="D29" s="964">
        <f>'1.入力表'!F39</f>
        <v>0</v>
      </c>
      <c r="E29" s="966">
        <f t="shared" si="0"/>
        <v>0</v>
      </c>
      <c r="F29" s="968">
        <f t="shared" si="1"/>
        <v>0</v>
      </c>
      <c r="G29" s="974">
        <f t="shared" si="2"/>
        <v>0</v>
      </c>
      <c r="H29" s="979"/>
      <c r="I29" s="986">
        <f t="shared" si="3"/>
        <v>0</v>
      </c>
      <c r="J29" s="991" t="s">
        <v>56</v>
      </c>
      <c r="K29" s="208"/>
    </row>
    <row r="30" spans="1:11">
      <c r="A30" s="208"/>
      <c r="B30" s="961">
        <f>'1.入力表'!C40</f>
        <v>22</v>
      </c>
      <c r="C30" s="961">
        <f>'1.入力表'!D40</f>
        <v>0</v>
      </c>
      <c r="D30" s="964">
        <f>'1.入力表'!F40</f>
        <v>0</v>
      </c>
      <c r="E30" s="966">
        <f t="shared" si="0"/>
        <v>0</v>
      </c>
      <c r="F30" s="968">
        <f t="shared" si="1"/>
        <v>0</v>
      </c>
      <c r="G30" s="974">
        <f t="shared" si="2"/>
        <v>0</v>
      </c>
      <c r="H30" s="979"/>
      <c r="I30" s="986">
        <f t="shared" si="3"/>
        <v>0</v>
      </c>
      <c r="J30" s="991" t="s">
        <v>56</v>
      </c>
      <c r="K30" s="208"/>
    </row>
    <row r="31" spans="1:11">
      <c r="A31" s="208"/>
      <c r="B31" s="961">
        <f>'1.入力表'!C41</f>
        <v>23</v>
      </c>
      <c r="C31" s="961">
        <f>'1.入力表'!D41</f>
        <v>0</v>
      </c>
      <c r="D31" s="964">
        <f>'1.入力表'!F41</f>
        <v>0</v>
      </c>
      <c r="E31" s="966">
        <f t="shared" si="0"/>
        <v>0</v>
      </c>
      <c r="F31" s="968">
        <f t="shared" si="1"/>
        <v>0</v>
      </c>
      <c r="G31" s="974">
        <f t="shared" si="2"/>
        <v>0</v>
      </c>
      <c r="H31" s="979"/>
      <c r="I31" s="986">
        <f t="shared" si="3"/>
        <v>0</v>
      </c>
      <c r="J31" s="991" t="s">
        <v>56</v>
      </c>
      <c r="K31" s="208"/>
    </row>
    <row r="32" spans="1:11">
      <c r="A32" s="208"/>
      <c r="B32" s="961">
        <f>'1.入力表'!C42</f>
        <v>24</v>
      </c>
      <c r="C32" s="961">
        <f>'1.入力表'!D42</f>
        <v>0</v>
      </c>
      <c r="D32" s="964">
        <f>'1.入力表'!F42</f>
        <v>0</v>
      </c>
      <c r="E32" s="966">
        <f t="shared" si="0"/>
        <v>0</v>
      </c>
      <c r="F32" s="968">
        <f t="shared" si="1"/>
        <v>0</v>
      </c>
      <c r="G32" s="974">
        <f t="shared" si="2"/>
        <v>0</v>
      </c>
      <c r="H32" s="979"/>
      <c r="I32" s="986">
        <f t="shared" si="3"/>
        <v>0</v>
      </c>
      <c r="J32" s="991" t="s">
        <v>56</v>
      </c>
      <c r="K32" s="208"/>
    </row>
    <row r="33" spans="1:11">
      <c r="A33" s="208"/>
      <c r="B33" s="961">
        <f>'1.入力表'!C43</f>
        <v>25</v>
      </c>
      <c r="C33" s="961">
        <f>'1.入力表'!D43</f>
        <v>0</v>
      </c>
      <c r="D33" s="964">
        <f>'1.入力表'!F43</f>
        <v>0</v>
      </c>
      <c r="E33" s="966">
        <f t="shared" si="0"/>
        <v>0</v>
      </c>
      <c r="F33" s="968">
        <f t="shared" si="1"/>
        <v>0</v>
      </c>
      <c r="G33" s="974">
        <f t="shared" si="2"/>
        <v>0</v>
      </c>
      <c r="H33" s="979"/>
      <c r="I33" s="986">
        <f t="shared" si="3"/>
        <v>0</v>
      </c>
      <c r="J33" s="991" t="s">
        <v>56</v>
      </c>
      <c r="K33" s="208"/>
    </row>
    <row r="34" spans="1:11">
      <c r="A34" s="208"/>
      <c r="B34" s="961">
        <f>'1.入力表'!C44</f>
        <v>26</v>
      </c>
      <c r="C34" s="961">
        <f>'1.入力表'!D44</f>
        <v>0</v>
      </c>
      <c r="D34" s="964">
        <f>'1.入力表'!F44</f>
        <v>0</v>
      </c>
      <c r="E34" s="966">
        <f t="shared" si="0"/>
        <v>0</v>
      </c>
      <c r="F34" s="968">
        <f t="shared" si="1"/>
        <v>0</v>
      </c>
      <c r="G34" s="974">
        <f t="shared" si="2"/>
        <v>0</v>
      </c>
      <c r="H34" s="979"/>
      <c r="I34" s="986">
        <f t="shared" si="3"/>
        <v>0</v>
      </c>
      <c r="J34" s="991" t="s">
        <v>56</v>
      </c>
      <c r="K34" s="208"/>
    </row>
    <row r="35" spans="1:11">
      <c r="A35" s="208"/>
      <c r="B35" s="961">
        <f>'1.入力表'!C45</f>
        <v>27</v>
      </c>
      <c r="C35" s="961">
        <f>'1.入力表'!D45</f>
        <v>0</v>
      </c>
      <c r="D35" s="964">
        <f>'1.入力表'!F45</f>
        <v>0</v>
      </c>
      <c r="E35" s="966">
        <f t="shared" si="0"/>
        <v>0</v>
      </c>
      <c r="F35" s="968">
        <f t="shared" si="1"/>
        <v>0</v>
      </c>
      <c r="G35" s="974">
        <f t="shared" si="2"/>
        <v>0</v>
      </c>
      <c r="H35" s="979"/>
      <c r="I35" s="986">
        <f t="shared" si="3"/>
        <v>0</v>
      </c>
      <c r="J35" s="991" t="s">
        <v>56</v>
      </c>
      <c r="K35" s="208"/>
    </row>
    <row r="36" spans="1:11">
      <c r="A36" s="208"/>
      <c r="B36" s="961">
        <f>'1.入力表'!C46</f>
        <v>28</v>
      </c>
      <c r="C36" s="961">
        <f>'1.入力表'!D46</f>
        <v>0</v>
      </c>
      <c r="D36" s="964">
        <f>'1.入力表'!F46</f>
        <v>0</v>
      </c>
      <c r="E36" s="966">
        <f t="shared" si="0"/>
        <v>0</v>
      </c>
      <c r="F36" s="968">
        <f t="shared" si="1"/>
        <v>0</v>
      </c>
      <c r="G36" s="974">
        <f t="shared" si="2"/>
        <v>0</v>
      </c>
      <c r="H36" s="979"/>
      <c r="I36" s="986">
        <f t="shared" si="3"/>
        <v>0</v>
      </c>
      <c r="J36" s="991" t="s">
        <v>56</v>
      </c>
      <c r="K36" s="208"/>
    </row>
    <row r="37" spans="1:11">
      <c r="A37" s="208"/>
      <c r="B37" s="961">
        <f>'1.入力表'!C47</f>
        <v>29</v>
      </c>
      <c r="C37" s="961">
        <f>'1.入力表'!D47</f>
        <v>0</v>
      </c>
      <c r="D37" s="964">
        <f>'1.入力表'!F47</f>
        <v>0</v>
      </c>
      <c r="E37" s="966">
        <f t="shared" si="0"/>
        <v>0</v>
      </c>
      <c r="F37" s="968">
        <f t="shared" si="1"/>
        <v>0</v>
      </c>
      <c r="G37" s="974">
        <f t="shared" si="2"/>
        <v>0</v>
      </c>
      <c r="H37" s="979"/>
      <c r="I37" s="986">
        <f t="shared" si="3"/>
        <v>0</v>
      </c>
      <c r="J37" s="991" t="s">
        <v>56</v>
      </c>
      <c r="K37" s="208"/>
    </row>
    <row r="38" spans="1:11">
      <c r="A38" s="208"/>
      <c r="B38" s="961">
        <f>'1.入力表'!C48</f>
        <v>30</v>
      </c>
      <c r="C38" s="961">
        <f>'1.入力表'!D48</f>
        <v>0</v>
      </c>
      <c r="D38" s="964">
        <f>'1.入力表'!F48</f>
        <v>0</v>
      </c>
      <c r="E38" s="966">
        <f t="shared" si="0"/>
        <v>0</v>
      </c>
      <c r="F38" s="968">
        <f t="shared" si="1"/>
        <v>0</v>
      </c>
      <c r="G38" s="974">
        <f t="shared" si="2"/>
        <v>0</v>
      </c>
      <c r="H38" s="979"/>
      <c r="I38" s="986">
        <f t="shared" si="3"/>
        <v>0</v>
      </c>
      <c r="J38" s="991" t="s">
        <v>56</v>
      </c>
      <c r="K38" s="208"/>
    </row>
    <row r="39" spans="1:11">
      <c r="A39" s="208"/>
      <c r="B39" s="961">
        <f>'1.入力表'!C49</f>
        <v>31</v>
      </c>
      <c r="C39" s="961">
        <f>'1.入力表'!D49</f>
        <v>0</v>
      </c>
      <c r="D39" s="964">
        <f>'1.入力表'!F49</f>
        <v>0</v>
      </c>
      <c r="E39" s="966">
        <f t="shared" si="0"/>
        <v>0</v>
      </c>
      <c r="F39" s="968">
        <f t="shared" si="1"/>
        <v>0</v>
      </c>
      <c r="G39" s="974">
        <f t="shared" si="2"/>
        <v>0</v>
      </c>
      <c r="H39" s="979"/>
      <c r="I39" s="986">
        <f t="shared" si="3"/>
        <v>0</v>
      </c>
      <c r="J39" s="991" t="s">
        <v>56</v>
      </c>
      <c r="K39" s="208"/>
    </row>
    <row r="40" spans="1:11">
      <c r="A40" s="208"/>
      <c r="B40" s="961">
        <f>'1.入力表'!C50</f>
        <v>32</v>
      </c>
      <c r="C40" s="961">
        <f>'1.入力表'!D50</f>
        <v>0</v>
      </c>
      <c r="D40" s="964">
        <f>'1.入力表'!F50</f>
        <v>0</v>
      </c>
      <c r="E40" s="966">
        <f t="shared" si="0"/>
        <v>0</v>
      </c>
      <c r="F40" s="968">
        <f t="shared" si="1"/>
        <v>0</v>
      </c>
      <c r="G40" s="974">
        <f t="shared" si="2"/>
        <v>0</v>
      </c>
      <c r="H40" s="979"/>
      <c r="I40" s="986">
        <f t="shared" si="3"/>
        <v>0</v>
      </c>
      <c r="J40" s="991" t="s">
        <v>56</v>
      </c>
      <c r="K40" s="208"/>
    </row>
    <row r="41" spans="1:11">
      <c r="A41" s="208"/>
      <c r="B41" s="961">
        <f>'1.入力表'!C51</f>
        <v>33</v>
      </c>
      <c r="C41" s="961">
        <f>'1.入力表'!D51</f>
        <v>0</v>
      </c>
      <c r="D41" s="964">
        <f>'1.入力表'!F51</f>
        <v>0</v>
      </c>
      <c r="E41" s="966">
        <f t="shared" si="0"/>
        <v>0</v>
      </c>
      <c r="F41" s="968">
        <f t="shared" si="1"/>
        <v>0</v>
      </c>
      <c r="G41" s="974">
        <f t="shared" si="2"/>
        <v>0</v>
      </c>
      <c r="H41" s="979"/>
      <c r="I41" s="986">
        <f t="shared" si="3"/>
        <v>0</v>
      </c>
      <c r="J41" s="991" t="s">
        <v>56</v>
      </c>
      <c r="K41" s="208"/>
    </row>
    <row r="42" spans="1:11">
      <c r="A42" s="208"/>
      <c r="B42" s="961">
        <f>'1.入力表'!C52</f>
        <v>34</v>
      </c>
      <c r="C42" s="961">
        <f>'1.入力表'!D52</f>
        <v>0</v>
      </c>
      <c r="D42" s="964">
        <f>'1.入力表'!F52</f>
        <v>0</v>
      </c>
      <c r="E42" s="966">
        <f t="shared" si="0"/>
        <v>0</v>
      </c>
      <c r="F42" s="968">
        <f t="shared" si="1"/>
        <v>0</v>
      </c>
      <c r="G42" s="974">
        <f t="shared" si="2"/>
        <v>0</v>
      </c>
      <c r="H42" s="979"/>
      <c r="I42" s="986">
        <f t="shared" si="3"/>
        <v>0</v>
      </c>
      <c r="J42" s="991" t="s">
        <v>56</v>
      </c>
      <c r="K42" s="208"/>
    </row>
    <row r="43" spans="1:11">
      <c r="A43" s="208"/>
      <c r="B43" s="961">
        <f>'1.入力表'!C53</f>
        <v>35</v>
      </c>
      <c r="C43" s="961">
        <f>'1.入力表'!D53</f>
        <v>0</v>
      </c>
      <c r="D43" s="964">
        <f>'1.入力表'!F53</f>
        <v>0</v>
      </c>
      <c r="E43" s="966">
        <f t="shared" si="0"/>
        <v>0</v>
      </c>
      <c r="F43" s="968">
        <f t="shared" si="1"/>
        <v>0</v>
      </c>
      <c r="G43" s="974">
        <f t="shared" si="2"/>
        <v>0</v>
      </c>
      <c r="H43" s="979"/>
      <c r="I43" s="986">
        <f t="shared" si="3"/>
        <v>0</v>
      </c>
      <c r="J43" s="991" t="s">
        <v>56</v>
      </c>
      <c r="K43" s="208"/>
    </row>
    <row r="44" spans="1:11">
      <c r="A44" s="208"/>
      <c r="B44" s="961">
        <f>'1.入力表'!C54</f>
        <v>36</v>
      </c>
      <c r="C44" s="961">
        <f>'1.入力表'!D54</f>
        <v>0</v>
      </c>
      <c r="D44" s="964">
        <f>'1.入力表'!F54</f>
        <v>0</v>
      </c>
      <c r="E44" s="966">
        <f t="shared" si="0"/>
        <v>0</v>
      </c>
      <c r="F44" s="968">
        <f t="shared" si="1"/>
        <v>0</v>
      </c>
      <c r="G44" s="974">
        <f t="shared" si="2"/>
        <v>0</v>
      </c>
      <c r="H44" s="979"/>
      <c r="I44" s="986">
        <f t="shared" si="3"/>
        <v>0</v>
      </c>
      <c r="J44" s="991" t="s">
        <v>56</v>
      </c>
      <c r="K44" s="208"/>
    </row>
    <row r="45" spans="1:11">
      <c r="A45" s="208"/>
      <c r="B45" s="961">
        <f>'1.入力表'!C55</f>
        <v>37</v>
      </c>
      <c r="C45" s="961">
        <f>'1.入力表'!D55</f>
        <v>0</v>
      </c>
      <c r="D45" s="964">
        <f>'1.入力表'!F55</f>
        <v>0</v>
      </c>
      <c r="E45" s="966">
        <f t="shared" si="0"/>
        <v>0</v>
      </c>
      <c r="F45" s="968">
        <f t="shared" si="1"/>
        <v>0</v>
      </c>
      <c r="G45" s="974">
        <f t="shared" si="2"/>
        <v>0</v>
      </c>
      <c r="H45" s="979"/>
      <c r="I45" s="986">
        <f t="shared" si="3"/>
        <v>0</v>
      </c>
      <c r="J45" s="991" t="s">
        <v>56</v>
      </c>
      <c r="K45" s="208"/>
    </row>
    <row r="46" spans="1:11">
      <c r="A46" s="208"/>
      <c r="B46" s="961">
        <f>'1.入力表'!C56</f>
        <v>38</v>
      </c>
      <c r="C46" s="961">
        <f>'1.入力表'!D56</f>
        <v>0</v>
      </c>
      <c r="D46" s="964">
        <f>'1.入力表'!F56</f>
        <v>0</v>
      </c>
      <c r="E46" s="966">
        <f t="shared" si="0"/>
        <v>0</v>
      </c>
      <c r="F46" s="968">
        <f t="shared" si="1"/>
        <v>0</v>
      </c>
      <c r="G46" s="974">
        <f t="shared" si="2"/>
        <v>0</v>
      </c>
      <c r="H46" s="979"/>
      <c r="I46" s="986">
        <f t="shared" si="3"/>
        <v>0</v>
      </c>
      <c r="J46" s="991" t="s">
        <v>56</v>
      </c>
      <c r="K46" s="208"/>
    </row>
    <row r="47" spans="1:11">
      <c r="A47" s="208"/>
      <c r="B47" s="961">
        <f>'1.入力表'!C57</f>
        <v>39</v>
      </c>
      <c r="C47" s="961">
        <f>'1.入力表'!D57</f>
        <v>0</v>
      </c>
      <c r="D47" s="964">
        <f>'1.入力表'!F57</f>
        <v>0</v>
      </c>
      <c r="E47" s="966">
        <f t="shared" si="0"/>
        <v>0</v>
      </c>
      <c r="F47" s="968">
        <f t="shared" si="1"/>
        <v>0</v>
      </c>
      <c r="G47" s="974">
        <f t="shared" si="2"/>
        <v>0</v>
      </c>
      <c r="H47" s="979"/>
      <c r="I47" s="986">
        <f t="shared" si="3"/>
        <v>0</v>
      </c>
      <c r="J47" s="991" t="s">
        <v>56</v>
      </c>
      <c r="K47" s="208"/>
    </row>
    <row r="48" spans="1:11">
      <c r="A48" s="208"/>
      <c r="B48" s="961">
        <f>'1.入力表'!C58</f>
        <v>40</v>
      </c>
      <c r="C48" s="961">
        <f>'1.入力表'!D58</f>
        <v>0</v>
      </c>
      <c r="D48" s="964">
        <f>'1.入力表'!F58</f>
        <v>0</v>
      </c>
      <c r="E48" s="966">
        <f t="shared" si="0"/>
        <v>0</v>
      </c>
      <c r="F48" s="968">
        <f t="shared" si="1"/>
        <v>0</v>
      </c>
      <c r="G48" s="974">
        <f t="shared" si="2"/>
        <v>0</v>
      </c>
      <c r="H48" s="979"/>
      <c r="I48" s="986">
        <f t="shared" si="3"/>
        <v>0</v>
      </c>
      <c r="J48" s="991" t="s">
        <v>56</v>
      </c>
      <c r="K48" s="208"/>
    </row>
    <row r="49" spans="1:11">
      <c r="A49" s="208"/>
      <c r="B49" s="961">
        <f>'1.入力表'!C59</f>
        <v>41</v>
      </c>
      <c r="C49" s="961">
        <f>'1.入力表'!D59</f>
        <v>0</v>
      </c>
      <c r="D49" s="964">
        <f>'1.入力表'!F59</f>
        <v>0</v>
      </c>
      <c r="E49" s="966">
        <f t="shared" si="0"/>
        <v>0</v>
      </c>
      <c r="F49" s="968">
        <f t="shared" si="1"/>
        <v>0</v>
      </c>
      <c r="G49" s="974">
        <f t="shared" si="2"/>
        <v>0</v>
      </c>
      <c r="H49" s="979"/>
      <c r="I49" s="986">
        <f t="shared" si="3"/>
        <v>0</v>
      </c>
      <c r="J49" s="991" t="s">
        <v>56</v>
      </c>
      <c r="K49" s="208"/>
    </row>
    <row r="50" spans="1:11">
      <c r="A50" s="208"/>
      <c r="B50" s="961">
        <f>'1.入力表'!C60</f>
        <v>42</v>
      </c>
      <c r="C50" s="961">
        <f>'1.入力表'!D60</f>
        <v>0</v>
      </c>
      <c r="D50" s="964">
        <f>'1.入力表'!F60</f>
        <v>0</v>
      </c>
      <c r="E50" s="966">
        <f t="shared" si="0"/>
        <v>0</v>
      </c>
      <c r="F50" s="968">
        <f t="shared" si="1"/>
        <v>0</v>
      </c>
      <c r="G50" s="974">
        <f t="shared" si="2"/>
        <v>0</v>
      </c>
      <c r="H50" s="979"/>
      <c r="I50" s="986">
        <f t="shared" si="3"/>
        <v>0</v>
      </c>
      <c r="J50" s="991" t="s">
        <v>56</v>
      </c>
      <c r="K50" s="208"/>
    </row>
    <row r="51" spans="1:11">
      <c r="A51" s="208"/>
      <c r="B51" s="961">
        <f>'1.入力表'!C61</f>
        <v>43</v>
      </c>
      <c r="C51" s="961">
        <f>'1.入力表'!D61</f>
        <v>0</v>
      </c>
      <c r="D51" s="964">
        <f>'1.入力表'!F61</f>
        <v>0</v>
      </c>
      <c r="E51" s="966">
        <f t="shared" si="0"/>
        <v>0</v>
      </c>
      <c r="F51" s="968">
        <f t="shared" si="1"/>
        <v>0</v>
      </c>
      <c r="G51" s="974">
        <f t="shared" si="2"/>
        <v>0</v>
      </c>
      <c r="H51" s="979"/>
      <c r="I51" s="986">
        <f t="shared" si="3"/>
        <v>0</v>
      </c>
      <c r="J51" s="991" t="s">
        <v>56</v>
      </c>
      <c r="K51" s="208"/>
    </row>
    <row r="52" spans="1:11">
      <c r="A52" s="208"/>
      <c r="B52" s="961">
        <f>'1.入力表'!C62</f>
        <v>44</v>
      </c>
      <c r="C52" s="961">
        <f>'1.入力表'!D62</f>
        <v>0</v>
      </c>
      <c r="D52" s="964">
        <f>'1.入力表'!F62</f>
        <v>0</v>
      </c>
      <c r="E52" s="966">
        <f t="shared" si="0"/>
        <v>0</v>
      </c>
      <c r="F52" s="968">
        <f t="shared" si="1"/>
        <v>0</v>
      </c>
      <c r="G52" s="974">
        <f t="shared" si="2"/>
        <v>0</v>
      </c>
      <c r="H52" s="979"/>
      <c r="I52" s="986">
        <f t="shared" si="3"/>
        <v>0</v>
      </c>
      <c r="J52" s="991" t="s">
        <v>56</v>
      </c>
      <c r="K52" s="208"/>
    </row>
    <row r="53" spans="1:11">
      <c r="A53" s="208"/>
      <c r="B53" s="961">
        <f>'1.入力表'!C63</f>
        <v>45</v>
      </c>
      <c r="C53" s="961">
        <f>'1.入力表'!D63</f>
        <v>0</v>
      </c>
      <c r="D53" s="964">
        <f>'1.入力表'!F63</f>
        <v>0</v>
      </c>
      <c r="E53" s="966">
        <f t="shared" si="0"/>
        <v>0</v>
      </c>
      <c r="F53" s="968">
        <f t="shared" si="1"/>
        <v>0</v>
      </c>
      <c r="G53" s="974">
        <f t="shared" si="2"/>
        <v>0</v>
      </c>
      <c r="H53" s="979"/>
      <c r="I53" s="986">
        <f t="shared" si="3"/>
        <v>0</v>
      </c>
      <c r="J53" s="991" t="s">
        <v>56</v>
      </c>
      <c r="K53" s="208"/>
    </row>
    <row r="54" spans="1:11">
      <c r="A54" s="208"/>
      <c r="B54" s="961" t="s">
        <v>216</v>
      </c>
      <c r="C54" s="961">
        <f>'1.入力表'!D64</f>
        <v>11</v>
      </c>
      <c r="D54" s="964">
        <f>SUM(D9:D53)</f>
        <v>100000</v>
      </c>
      <c r="E54" s="966">
        <f t="shared" si="0"/>
        <v>1</v>
      </c>
      <c r="F54" s="968">
        <f>SUM(F9:F53)</f>
        <v>0.99999999999999989</v>
      </c>
      <c r="G54" s="968">
        <f>SUM(G9:G53)</f>
        <v>100</v>
      </c>
      <c r="H54" s="980">
        <f>SUM(H9:H53)</f>
        <v>0</v>
      </c>
      <c r="I54" s="986">
        <f>SUM(I9:I53)</f>
        <v>100</v>
      </c>
      <c r="J54" s="991" t="s">
        <v>56</v>
      </c>
      <c r="K54" s="208"/>
    </row>
    <row r="55" spans="1:11">
      <c r="A55" s="208"/>
      <c r="B55" s="208"/>
      <c r="C55" s="208"/>
      <c r="D55" s="965"/>
      <c r="E55" s="208"/>
      <c r="F55" s="967"/>
      <c r="G55" s="969"/>
      <c r="H55" s="208"/>
      <c r="I55" s="208"/>
      <c r="J55" s="208"/>
      <c r="K55" s="208"/>
    </row>
    <row r="56" spans="1:11">
      <c r="A56" s="208"/>
      <c r="B56" s="208"/>
      <c r="C56" s="208"/>
      <c r="D56" s="965"/>
      <c r="E56" s="208"/>
      <c r="F56" s="967"/>
      <c r="G56" s="969"/>
      <c r="H56" s="208"/>
      <c r="I56" s="208"/>
      <c r="J56" s="208"/>
      <c r="K56" s="208"/>
    </row>
    <row r="57" spans="1:11">
      <c r="B57" s="51"/>
      <c r="C57" s="51"/>
      <c r="E57" s="51"/>
      <c r="H57" s="51"/>
      <c r="I57" s="51"/>
      <c r="J57" s="51"/>
    </row>
    <row r="58" spans="1:11">
      <c r="B58" s="51"/>
      <c r="C58" s="51"/>
      <c r="E58" s="51"/>
      <c r="H58" s="51"/>
      <c r="I58" s="51"/>
      <c r="J58" s="51"/>
    </row>
  </sheetData>
  <sheetProtection password="DD53" sheet="1"/>
  <mergeCells count="8">
    <mergeCell ref="B1:J1"/>
    <mergeCell ref="I4:J4"/>
    <mergeCell ref="H5:J5"/>
    <mergeCell ref="H6:J6"/>
    <mergeCell ref="E8:F8"/>
    <mergeCell ref="I8:J8"/>
    <mergeCell ref="B3:F7"/>
    <mergeCell ref="G5:G6"/>
  </mergeCells>
  <phoneticPr fontId="5"/>
  <printOptions horizontalCentered="1"/>
  <pageMargins left="0.39370078740157483" right="0.39370078740157483" top="0.39370078740157483" bottom="0.39370078740157483" header="0.11811023622047245" footer="0.11811023622047245"/>
  <pageSetup paperSize="9" scale="94" fitToWidth="1" fitToHeight="1" orientation="portrait" usePrinterDefaults="1" r:id="rId1"/>
  <headerFooter alignWithMargins="0">
    <oddFooter>&amp;R&amp;A&amp;P/&amp;N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sheetPr>
  <dimension ref="A1:CA17"/>
  <sheetViews>
    <sheetView view="pageBreakPreview" zoomScaleSheetLayoutView="100" workbookViewId="0">
      <selection activeCell="F30" sqref="F30"/>
    </sheetView>
  </sheetViews>
  <sheetFormatPr defaultRowHeight="13.5"/>
  <cols>
    <col min="1" max="1" width="12.125" style="992" customWidth="1"/>
    <col min="2" max="3" width="13.625" style="992" customWidth="1"/>
    <col min="4" max="4" width="22.125" style="992" customWidth="1"/>
    <col min="5" max="6" width="13.625" style="992" customWidth="1"/>
    <col min="7" max="16384" width="9" style="992" customWidth="1"/>
  </cols>
  <sheetData>
    <row r="1" spans="1:6" ht="21.75" customHeight="1">
      <c r="A1" s="992" t="s">
        <v>666</v>
      </c>
      <c r="F1" s="1014"/>
    </row>
    <row r="2" spans="1:6" ht="34.5" customHeight="1">
      <c r="A2" s="993" t="s">
        <v>814</v>
      </c>
      <c r="B2" s="993"/>
      <c r="C2" s="993"/>
      <c r="D2" s="993"/>
      <c r="E2" s="993"/>
      <c r="F2" s="993"/>
    </row>
    <row r="3" spans="1:6" ht="27" customHeight="1">
      <c r="E3" s="1013" t="str">
        <f>'1.入力表'!M3&amp;"集落"</f>
        <v>奥安来集落</v>
      </c>
      <c r="F3" s="1013"/>
    </row>
    <row r="4" spans="1:6" ht="33" customHeight="1">
      <c r="A4" s="994" t="s">
        <v>815</v>
      </c>
      <c r="B4" s="1001" t="s">
        <v>893</v>
      </c>
      <c r="C4" s="1008"/>
      <c r="D4" s="1008"/>
      <c r="E4" s="1008"/>
      <c r="F4" s="1015"/>
    </row>
    <row r="5" spans="1:6" ht="33" customHeight="1">
      <c r="A5" s="995" t="s">
        <v>693</v>
      </c>
      <c r="B5" s="1002" t="s">
        <v>507</v>
      </c>
      <c r="C5" s="1009"/>
      <c r="D5" s="1009"/>
      <c r="E5" s="1009"/>
      <c r="F5" s="1016"/>
    </row>
    <row r="6" spans="1:6" ht="33" customHeight="1">
      <c r="A6" s="995" t="s">
        <v>46</v>
      </c>
      <c r="B6" s="1003" t="s">
        <v>888</v>
      </c>
      <c r="C6" s="1003"/>
      <c r="D6" s="1003"/>
      <c r="E6" s="1003"/>
      <c r="F6" s="1017"/>
    </row>
    <row r="7" spans="1:6" ht="277.5" customHeight="1">
      <c r="A7" s="996" t="s">
        <v>816</v>
      </c>
      <c r="B7" s="1004"/>
      <c r="C7" s="1004"/>
      <c r="D7" s="1004"/>
      <c r="E7" s="1004"/>
      <c r="F7" s="1018"/>
    </row>
    <row r="8" spans="1:6" ht="33" customHeight="1">
      <c r="A8" s="995" t="s">
        <v>817</v>
      </c>
      <c r="B8" s="1002" t="s">
        <v>890</v>
      </c>
      <c r="C8" s="1009"/>
      <c r="D8" s="1009"/>
      <c r="E8" s="1009"/>
      <c r="F8" s="1016"/>
    </row>
    <row r="9" spans="1:6" ht="33" customHeight="1">
      <c r="A9" s="997" t="s">
        <v>677</v>
      </c>
      <c r="B9" s="1005" t="s">
        <v>663</v>
      </c>
      <c r="C9" s="1005" t="s">
        <v>484</v>
      </c>
      <c r="D9" s="1005" t="s">
        <v>442</v>
      </c>
      <c r="E9" s="1005" t="s">
        <v>818</v>
      </c>
      <c r="F9" s="1019" t="s">
        <v>820</v>
      </c>
    </row>
    <row r="10" spans="1:6" ht="33" customHeight="1">
      <c r="A10" s="998"/>
      <c r="B10" s="1006" t="s">
        <v>891</v>
      </c>
      <c r="C10" s="1010">
        <v>40000</v>
      </c>
      <c r="D10" s="1011" t="s">
        <v>889</v>
      </c>
      <c r="E10" s="1012" t="s">
        <v>875</v>
      </c>
      <c r="F10" s="1020"/>
    </row>
    <row r="11" spans="1:6" ht="33" customHeight="1">
      <c r="A11" s="998"/>
      <c r="B11" s="1006" t="s">
        <v>25</v>
      </c>
      <c r="C11" s="1010">
        <v>1500</v>
      </c>
      <c r="D11" s="1012" t="s">
        <v>121</v>
      </c>
      <c r="E11" s="1006" t="s">
        <v>448</v>
      </c>
      <c r="F11" s="1020"/>
    </row>
    <row r="12" spans="1:6" ht="33" customHeight="1">
      <c r="A12" s="998"/>
      <c r="B12" s="1006" t="s">
        <v>472</v>
      </c>
      <c r="C12" s="1010">
        <v>1750</v>
      </c>
      <c r="D12" s="1012" t="s">
        <v>892</v>
      </c>
      <c r="E12" s="1006" t="s">
        <v>576</v>
      </c>
      <c r="F12" s="1020"/>
    </row>
    <row r="13" spans="1:6" ht="33" customHeight="1">
      <c r="A13" s="998"/>
      <c r="B13" s="1006"/>
      <c r="C13" s="1010"/>
      <c r="D13" s="1006"/>
      <c r="E13" s="1006"/>
      <c r="F13" s="1020"/>
    </row>
    <row r="14" spans="1:6" ht="33" customHeight="1">
      <c r="A14" s="998"/>
      <c r="B14" s="1006"/>
      <c r="C14" s="1010"/>
      <c r="D14" s="1006"/>
      <c r="E14" s="1006"/>
      <c r="F14" s="1020"/>
    </row>
    <row r="15" spans="1:6" ht="33" customHeight="1">
      <c r="A15" s="999"/>
      <c r="B15" s="1005" t="s">
        <v>281</v>
      </c>
      <c r="C15" s="1010">
        <f>SUM(C10:C14)</f>
        <v>43250</v>
      </c>
      <c r="D15" s="1006"/>
      <c r="E15" s="1006"/>
      <c r="F15" s="1020"/>
    </row>
    <row r="16" spans="1:6" ht="79.5" customHeight="1">
      <c r="A16" s="1000" t="s">
        <v>821</v>
      </c>
      <c r="B16" s="1007"/>
      <c r="C16" s="1007"/>
      <c r="D16" s="1007"/>
      <c r="E16" s="1007"/>
      <c r="F16" s="1021"/>
    </row>
    <row r="17" spans="79:79">
      <c r="CA17" s="992">
        <v>346</v>
      </c>
    </row>
  </sheetData>
  <mergeCells count="9">
    <mergeCell ref="A2:F2"/>
    <mergeCell ref="E3:F3"/>
    <mergeCell ref="B4:F4"/>
    <mergeCell ref="B5:F5"/>
    <mergeCell ref="B6:F6"/>
    <mergeCell ref="A7:F7"/>
    <mergeCell ref="B8:F8"/>
    <mergeCell ref="B16:F16"/>
    <mergeCell ref="A9:A1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zoomScaleSheetLayoutView="100" workbookViewId="0">
      <selection activeCell="A11" sqref="A11:J11"/>
    </sheetView>
  </sheetViews>
  <sheetFormatPr defaultRowHeight="21" customHeight="1"/>
  <cols>
    <col min="1" max="16384" width="9" style="1022" customWidth="1"/>
  </cols>
  <sheetData>
    <row r="1" spans="1:10" ht="21" customHeight="1">
      <c r="A1" s="1022" t="s">
        <v>838</v>
      </c>
    </row>
    <row r="2" spans="1:10" ht="21" customHeight="1">
      <c r="G2" s="1028"/>
      <c r="H2" s="1028"/>
      <c r="I2" s="1028"/>
    </row>
    <row r="3" spans="1:10" ht="21" customHeight="1">
      <c r="H3" s="1029" t="s">
        <v>839</v>
      </c>
      <c r="I3" s="1029"/>
      <c r="J3" s="1029"/>
    </row>
    <row r="5" spans="1:10" ht="21" customHeight="1">
      <c r="A5" s="1022" t="s">
        <v>240</v>
      </c>
    </row>
    <row r="7" spans="1:10" ht="21" customHeight="1">
      <c r="F7" s="1026" t="s">
        <v>316</v>
      </c>
      <c r="G7" s="1026"/>
      <c r="H7" s="1030"/>
      <c r="I7" s="1030"/>
      <c r="J7" s="1030"/>
    </row>
    <row r="8" spans="1:10" ht="21" customHeight="1">
      <c r="F8" s="1027" t="s">
        <v>840</v>
      </c>
      <c r="G8" s="1027"/>
      <c r="H8" s="1031"/>
      <c r="I8" s="1031"/>
      <c r="J8" s="1031"/>
    </row>
    <row r="9" spans="1:10" ht="21" customHeight="1">
      <c r="F9" s="1027" t="s">
        <v>841</v>
      </c>
      <c r="G9" s="1027"/>
      <c r="H9" s="1031"/>
      <c r="I9" s="1031"/>
      <c r="J9" s="1031"/>
    </row>
    <row r="11" spans="1:10" ht="21" customHeight="1">
      <c r="A11" s="1023" t="s">
        <v>703</v>
      </c>
      <c r="B11" s="1023"/>
      <c r="C11" s="1023"/>
      <c r="D11" s="1023"/>
      <c r="E11" s="1023"/>
      <c r="F11" s="1023"/>
      <c r="G11" s="1023"/>
      <c r="H11" s="1023"/>
      <c r="I11" s="1023"/>
      <c r="J11" s="1023"/>
    </row>
    <row r="12" spans="1:10" ht="21" customHeight="1">
      <c r="A12" s="1024"/>
      <c r="B12" s="1024"/>
      <c r="C12" s="1024"/>
      <c r="D12" s="1024"/>
      <c r="E12" s="1024"/>
      <c r="F12" s="1024"/>
      <c r="G12" s="1024"/>
      <c r="H12" s="1024"/>
      <c r="I12" s="1024"/>
      <c r="J12" s="1024"/>
    </row>
    <row r="13" spans="1:10" ht="63" customHeight="1">
      <c r="A13" s="1025" t="s">
        <v>842</v>
      </c>
      <c r="B13" s="1025"/>
      <c r="C13" s="1025"/>
      <c r="D13" s="1025"/>
      <c r="E13" s="1025"/>
      <c r="F13" s="1025"/>
      <c r="G13" s="1025"/>
      <c r="H13" s="1025"/>
      <c r="I13" s="1025"/>
      <c r="J13" s="1025"/>
    </row>
    <row r="14" spans="1:10" ht="21" customHeight="1">
      <c r="A14" s="1022" t="s">
        <v>843</v>
      </c>
    </row>
    <row r="36" spans="10:10" ht="21" customHeight="1">
      <c r="J36" s="1032"/>
    </row>
  </sheetData>
  <mergeCells count="10">
    <mergeCell ref="G2:I2"/>
    <mergeCell ref="H3:J3"/>
    <mergeCell ref="F7:G7"/>
    <mergeCell ref="H7:J7"/>
    <mergeCell ref="F8:G8"/>
    <mergeCell ref="H8:J8"/>
    <mergeCell ref="F9:G9"/>
    <mergeCell ref="H9:I9"/>
    <mergeCell ref="A11:J11"/>
    <mergeCell ref="A13:J13"/>
  </mergeCells>
  <phoneticPr fontId="5"/>
  <pageMargins left="0.59055118110236227" right="0.59055118110236227" top="0.74803149606299213" bottom="0.74803149606299213"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E39"/>
  <sheetViews>
    <sheetView view="pageBreakPreview" zoomScaleSheetLayoutView="100" workbookViewId="0">
      <selection activeCell="I10" sqref="I10"/>
    </sheetView>
  </sheetViews>
  <sheetFormatPr defaultRowHeight="14.25"/>
  <cols>
    <col min="1" max="1" width="5.125" style="1033" customWidth="1"/>
    <col min="2" max="5" width="21.125" style="1033" customWidth="1"/>
    <col min="6" max="16384" width="9" style="1033" customWidth="1"/>
  </cols>
  <sheetData>
    <row r="1" spans="1:5">
      <c r="A1" s="1033" t="s">
        <v>744</v>
      </c>
    </row>
    <row r="2" spans="1:5">
      <c r="A2" s="1033" t="s">
        <v>844</v>
      </c>
    </row>
    <row r="3" spans="1:5" ht="33" customHeight="1">
      <c r="B3" s="1041" t="s">
        <v>845</v>
      </c>
      <c r="C3" s="27" t="s">
        <v>45</v>
      </c>
      <c r="D3" s="1052" t="s">
        <v>24</v>
      </c>
      <c r="E3" s="27" t="s">
        <v>143</v>
      </c>
    </row>
    <row r="4" spans="1:5" ht="30" customHeight="1">
      <c r="B4" s="1042"/>
      <c r="C4" s="1042"/>
      <c r="D4" s="1042"/>
      <c r="E4" s="1054"/>
    </row>
    <row r="7" spans="1:5">
      <c r="A7" s="1033" t="s">
        <v>846</v>
      </c>
    </row>
    <row r="8" spans="1:5" ht="60" customHeight="1">
      <c r="A8" s="27" t="s">
        <v>848</v>
      </c>
      <c r="B8" s="27"/>
      <c r="C8" s="27" t="s">
        <v>345</v>
      </c>
      <c r="D8" s="27" t="s">
        <v>849</v>
      </c>
      <c r="E8" s="27" t="s">
        <v>819</v>
      </c>
    </row>
    <row r="9" spans="1:5" ht="30" customHeight="1">
      <c r="A9" s="1034" t="s">
        <v>173</v>
      </c>
      <c r="B9" s="1043" t="s">
        <v>850</v>
      </c>
      <c r="C9" s="1045"/>
      <c r="D9" s="1045"/>
      <c r="E9" s="1055"/>
    </row>
    <row r="10" spans="1:5" ht="30" customHeight="1">
      <c r="A10" s="1035"/>
      <c r="B10" s="1043" t="s">
        <v>794</v>
      </c>
      <c r="C10" s="1045"/>
      <c r="D10" s="1045"/>
      <c r="E10" s="1055"/>
    </row>
    <row r="11" spans="1:5" ht="30" customHeight="1">
      <c r="A11" s="1036"/>
      <c r="B11" s="1043" t="s">
        <v>851</v>
      </c>
      <c r="C11" s="1046"/>
      <c r="D11" s="1046"/>
      <c r="E11" s="1055"/>
    </row>
    <row r="12" spans="1:5" ht="30" customHeight="1">
      <c r="A12" s="1034" t="s">
        <v>852</v>
      </c>
      <c r="B12" s="1043" t="s">
        <v>850</v>
      </c>
      <c r="C12" s="1047"/>
      <c r="D12" s="1045"/>
      <c r="E12" s="1055"/>
    </row>
    <row r="13" spans="1:5" ht="30" customHeight="1">
      <c r="A13" s="1035"/>
      <c r="B13" s="1043" t="s">
        <v>794</v>
      </c>
      <c r="C13" s="1047"/>
      <c r="D13" s="1045"/>
      <c r="E13" s="1055"/>
    </row>
    <row r="14" spans="1:5" ht="30" customHeight="1">
      <c r="A14" s="1036"/>
      <c r="B14" s="1043" t="s">
        <v>851</v>
      </c>
      <c r="C14" s="1048"/>
      <c r="D14" s="1046"/>
      <c r="E14" s="1055"/>
    </row>
    <row r="15" spans="1:5" ht="30" customHeight="1">
      <c r="A15" s="1037" t="s">
        <v>853</v>
      </c>
      <c r="B15" s="1044"/>
      <c r="C15" s="1045"/>
      <c r="D15" s="1053"/>
      <c r="E15" s="1055"/>
    </row>
    <row r="16" spans="1:5" ht="30" customHeight="1">
      <c r="A16" s="1038" t="s">
        <v>698</v>
      </c>
      <c r="B16" s="38" t="s">
        <v>856</v>
      </c>
      <c r="C16" s="1049"/>
      <c r="D16" s="1045"/>
      <c r="E16" s="1056"/>
    </row>
    <row r="17" spans="1:5" ht="30" customHeight="1">
      <c r="A17" s="1039"/>
      <c r="B17" s="38" t="s">
        <v>688</v>
      </c>
      <c r="C17" s="1050"/>
      <c r="D17" s="1045"/>
      <c r="E17" s="1056"/>
    </row>
    <row r="18" spans="1:5" ht="30" customHeight="1">
      <c r="A18" s="1039"/>
      <c r="B18" s="38" t="s">
        <v>857</v>
      </c>
      <c r="C18" s="1050"/>
      <c r="D18" s="1045"/>
      <c r="E18" s="1056"/>
    </row>
    <row r="19" spans="1:5" ht="30" customHeight="1">
      <c r="A19" s="1040"/>
      <c r="B19" s="38" t="s">
        <v>236</v>
      </c>
      <c r="C19" s="1051"/>
      <c r="D19" s="1045"/>
      <c r="E19" s="1056"/>
    </row>
    <row r="20" spans="1:5" ht="30" customHeight="1">
      <c r="A20" s="27" t="s">
        <v>854</v>
      </c>
      <c r="B20" s="27"/>
      <c r="C20" s="1046"/>
      <c r="D20" s="1046"/>
      <c r="E20" s="1055"/>
    </row>
    <row r="39" spans="5:5">
      <c r="E39" s="1057"/>
    </row>
  </sheetData>
  <mergeCells count="7">
    <mergeCell ref="A8:B8"/>
    <mergeCell ref="A15:B15"/>
    <mergeCell ref="A20:B20"/>
    <mergeCell ref="A9:A11"/>
    <mergeCell ref="A12:A14"/>
    <mergeCell ref="A16:A19"/>
    <mergeCell ref="C16:C19"/>
  </mergeCells>
  <phoneticPr fontId="5"/>
  <pageMargins left="0.59055118110236227" right="0.59055118110236227" top="0.74803149606299213" bottom="0.74803149606299213" header="0.31496062992125984" footer="0.31496062992125984"/>
  <pageSetup paperSize="9" scale="9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sheetPr>
  <dimension ref="A1:C27"/>
  <sheetViews>
    <sheetView workbookViewId="0">
      <selection activeCell="A2" sqref="A2"/>
    </sheetView>
  </sheetViews>
  <sheetFormatPr defaultRowHeight="26.25" customHeight="1"/>
  <cols>
    <col min="1" max="1" width="18" style="1058" customWidth="1"/>
    <col min="2" max="2" width="27.25" style="1058" bestFit="1" customWidth="1"/>
    <col min="3" max="3" width="45" style="1058" bestFit="1" customWidth="1"/>
    <col min="4" max="16384" width="9" style="1058" customWidth="1"/>
  </cols>
  <sheetData>
    <row r="1" spans="1:3" ht="26.25" customHeight="1">
      <c r="A1" s="1058" t="s">
        <v>771</v>
      </c>
    </row>
    <row r="2" spans="1:3" ht="26.25" customHeight="1">
      <c r="A2" s="1058" t="s">
        <v>353</v>
      </c>
    </row>
    <row r="3" spans="1:3" ht="29.25" customHeight="1">
      <c r="A3" s="30" t="s">
        <v>772</v>
      </c>
      <c r="B3" s="30" t="s">
        <v>17</v>
      </c>
      <c r="C3" s="30"/>
    </row>
    <row r="4" spans="1:3" ht="29.25" customHeight="1">
      <c r="A4" s="1059" t="s">
        <v>350</v>
      </c>
      <c r="B4" s="1060" t="s">
        <v>773</v>
      </c>
      <c r="C4" s="1061"/>
    </row>
    <row r="5" spans="1:3" ht="29.25" customHeight="1">
      <c r="A5" s="1059"/>
      <c r="B5" s="1060" t="s">
        <v>774</v>
      </c>
      <c r="C5" s="1061"/>
    </row>
    <row r="6" spans="1:3" ht="29.25" customHeight="1">
      <c r="A6" s="1059"/>
      <c r="B6" s="1060" t="s">
        <v>397</v>
      </c>
      <c r="C6" s="1061"/>
    </row>
    <row r="7" spans="1:3" ht="29.25" customHeight="1">
      <c r="A7" s="1059" t="s">
        <v>775</v>
      </c>
      <c r="B7" s="1060" t="s">
        <v>96</v>
      </c>
      <c r="C7" s="1062"/>
    </row>
    <row r="8" spans="1:3" ht="29.25" customHeight="1">
      <c r="A8" s="1059"/>
      <c r="B8" s="1060" t="s">
        <v>241</v>
      </c>
      <c r="C8" s="1062"/>
    </row>
    <row r="9" spans="1:3" ht="29.25" customHeight="1">
      <c r="A9" s="1059"/>
      <c r="B9" s="1060" t="s">
        <v>397</v>
      </c>
      <c r="C9" s="1061"/>
    </row>
    <row r="10" spans="1:3" ht="29.25" customHeight="1">
      <c r="A10" s="1059" t="s">
        <v>625</v>
      </c>
      <c r="B10" s="1060" t="s">
        <v>777</v>
      </c>
      <c r="C10" s="1062"/>
    </row>
    <row r="11" spans="1:3" ht="29.25" customHeight="1">
      <c r="A11" s="1059"/>
      <c r="B11" s="1060" t="s">
        <v>778</v>
      </c>
      <c r="C11" s="1061"/>
    </row>
    <row r="12" spans="1:3" ht="29.25" customHeight="1">
      <c r="A12" s="1059"/>
      <c r="B12" s="1060" t="s">
        <v>779</v>
      </c>
      <c r="C12" s="1061"/>
    </row>
    <row r="13" spans="1:3" ht="29.25" customHeight="1">
      <c r="A13" s="1059"/>
      <c r="B13" s="1060" t="s">
        <v>313</v>
      </c>
      <c r="C13" s="1061"/>
    </row>
    <row r="14" spans="1:3" ht="29.25" customHeight="1">
      <c r="A14" s="1059"/>
      <c r="B14" s="1060" t="s">
        <v>397</v>
      </c>
      <c r="C14" s="1061"/>
    </row>
    <row r="15" spans="1:3" ht="29.25" customHeight="1">
      <c r="A15" s="1059" t="s">
        <v>381</v>
      </c>
      <c r="B15" s="1060" t="s">
        <v>572</v>
      </c>
      <c r="C15" s="1061"/>
    </row>
    <row r="16" spans="1:3" ht="29.25" customHeight="1">
      <c r="A16" s="1059"/>
      <c r="B16" s="1060" t="s">
        <v>151</v>
      </c>
      <c r="C16" s="1061"/>
    </row>
    <row r="17" spans="1:3" ht="29.25" customHeight="1">
      <c r="A17" s="1059"/>
      <c r="B17" s="1060" t="s">
        <v>357</v>
      </c>
      <c r="C17" s="1061"/>
    </row>
    <row r="18" spans="1:3" ht="29.25" customHeight="1">
      <c r="A18" s="1059"/>
      <c r="B18" s="1060" t="s">
        <v>780</v>
      </c>
      <c r="C18" s="1061"/>
    </row>
    <row r="19" spans="1:3" ht="29.25" customHeight="1">
      <c r="A19" s="1059"/>
      <c r="B19" s="1060" t="s">
        <v>397</v>
      </c>
      <c r="C19" s="1061"/>
    </row>
    <row r="20" spans="1:3" ht="29.25" customHeight="1">
      <c r="A20" s="1059" t="s">
        <v>781</v>
      </c>
      <c r="B20" s="1060" t="s">
        <v>784</v>
      </c>
      <c r="C20" s="1061"/>
    </row>
    <row r="21" spans="1:3" ht="29.25" customHeight="1">
      <c r="A21" s="1059"/>
      <c r="B21" s="1060" t="s">
        <v>397</v>
      </c>
      <c r="C21" s="1061"/>
    </row>
    <row r="22" spans="1:3" ht="29.25" customHeight="1">
      <c r="A22" s="30" t="s">
        <v>785</v>
      </c>
      <c r="B22" s="1060" t="s">
        <v>786</v>
      </c>
      <c r="C22" s="1061"/>
    </row>
    <row r="23" spans="1:3" ht="29.25" customHeight="1">
      <c r="A23" s="30"/>
      <c r="B23" s="1060" t="s">
        <v>389</v>
      </c>
      <c r="C23" s="1061"/>
    </row>
    <row r="24" spans="1:3" ht="29.25" customHeight="1">
      <c r="A24" s="30"/>
      <c r="B24" s="1060" t="s">
        <v>263</v>
      </c>
      <c r="C24" s="1061"/>
    </row>
    <row r="25" spans="1:3" ht="29.25" customHeight="1">
      <c r="A25" s="30"/>
      <c r="B25" s="1060" t="s">
        <v>397</v>
      </c>
      <c r="C25" s="1061"/>
    </row>
    <row r="26" spans="1:3" ht="29.25" customHeight="1">
      <c r="A26" s="30"/>
      <c r="B26" s="1060" t="s">
        <v>397</v>
      </c>
      <c r="C26" s="1061"/>
    </row>
    <row r="27" spans="1:3" ht="29.25" customHeight="1">
      <c r="A27" s="30"/>
      <c r="B27" s="1060" t="s">
        <v>397</v>
      </c>
      <c r="C27" s="1061"/>
    </row>
  </sheetData>
  <mergeCells count="7">
    <mergeCell ref="B3:C3"/>
    <mergeCell ref="A4:A6"/>
    <mergeCell ref="A7:A9"/>
    <mergeCell ref="A10:A14"/>
    <mergeCell ref="A15:A19"/>
    <mergeCell ref="A20:A21"/>
    <mergeCell ref="A22:A27"/>
  </mergeCells>
  <phoneticPr fontId="5"/>
  <printOptions horizontalCentered="1"/>
  <pageMargins left="0.59055118110236227" right="0.59055118110236227" top="0.7480314960629921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sheetPr>
  <dimension ref="A1:J32"/>
  <sheetViews>
    <sheetView showZeros="0" workbookViewId="0"/>
  </sheetViews>
  <sheetFormatPr defaultRowHeight="27" customHeight="1"/>
  <cols>
    <col min="1" max="1" width="6.875" style="1033" customWidth="1"/>
    <col min="2" max="2" width="31.625" style="1033" bestFit="1" customWidth="1"/>
    <col min="3" max="4" width="24.375" style="1033" customWidth="1"/>
    <col min="5" max="16384" width="9" style="1033" customWidth="1"/>
  </cols>
  <sheetData>
    <row r="1" spans="1:10" ht="27" customHeight="1">
      <c r="A1" s="1033" t="s">
        <v>712</v>
      </c>
    </row>
    <row r="2" spans="1:10" ht="27" customHeight="1">
      <c r="A2" s="1033" t="s">
        <v>894</v>
      </c>
      <c r="F2" s="1033" t="s">
        <v>519</v>
      </c>
    </row>
    <row r="3" spans="1:10" ht="23.25" customHeight="1">
      <c r="A3" s="30" t="s">
        <v>713</v>
      </c>
      <c r="B3" s="30"/>
      <c r="C3" s="30" t="s">
        <v>40</v>
      </c>
      <c r="D3" s="30" t="s">
        <v>714</v>
      </c>
    </row>
    <row r="4" spans="1:10" ht="21.75" customHeight="1">
      <c r="A4" s="30" t="s">
        <v>664</v>
      </c>
      <c r="B4" s="1067" t="s">
        <v>721</v>
      </c>
      <c r="C4" s="1070">
        <f>F4</f>
        <v>6800000</v>
      </c>
      <c r="D4" s="1073" t="s">
        <v>317</v>
      </c>
      <c r="F4" s="1033">
        <f>SUMIFS(金銭出納簿!F:F,金銭出納簿!D:D,"〇",金銭出納簿!E:E,B4)</f>
        <v>6800000</v>
      </c>
    </row>
    <row r="5" spans="1:10" ht="21.75" customHeight="1">
      <c r="A5" s="30"/>
      <c r="B5" s="1067" t="s">
        <v>715</v>
      </c>
      <c r="C5" s="1070">
        <f>F5</f>
        <v>15</v>
      </c>
      <c r="D5" s="1074"/>
      <c r="F5" s="1033">
        <f>SUMIFS(金銭出納簿!F:F,金銭出納簿!D:D,"〇",金銭出納簿!E:E,B5)</f>
        <v>15</v>
      </c>
    </row>
    <row r="6" spans="1:10" ht="21.75" customHeight="1">
      <c r="A6" s="30"/>
      <c r="B6" s="1067" t="s">
        <v>716</v>
      </c>
      <c r="C6" s="1070"/>
      <c r="D6" s="1074"/>
      <c r="F6" s="1033">
        <f>SUMIFS(金銭出納簿!F:F,金銭出納簿!D:D,"〇",金銭出納簿!E:E,B6)</f>
        <v>0</v>
      </c>
    </row>
    <row r="7" spans="1:10" ht="21.75" customHeight="1">
      <c r="A7" s="30"/>
      <c r="B7" s="1067" t="s">
        <v>75</v>
      </c>
      <c r="C7" s="1070"/>
      <c r="D7" s="1074"/>
      <c r="E7" s="1033" t="s">
        <v>245</v>
      </c>
      <c r="F7" s="4"/>
      <c r="G7" s="4" t="s">
        <v>697</v>
      </c>
      <c r="H7" s="4"/>
      <c r="I7" s="4"/>
      <c r="J7" s="4"/>
    </row>
    <row r="8" spans="1:10" ht="21.75" customHeight="1">
      <c r="A8" s="30"/>
      <c r="B8" s="30" t="s">
        <v>337</v>
      </c>
      <c r="C8" s="1070">
        <f>SUM(C4:C7)</f>
        <v>6800015</v>
      </c>
      <c r="D8" s="1074"/>
      <c r="F8" s="1033">
        <f>SUMIFS(金銭出納簿!F:F,金銭出納簿!D:D,"〇",金銭出納簿!E:E,B8)</f>
        <v>0</v>
      </c>
    </row>
    <row r="9" spans="1:10" ht="21.75" customHeight="1">
      <c r="A9" s="1063" t="s">
        <v>77</v>
      </c>
      <c r="B9" s="1067" t="s">
        <v>717</v>
      </c>
      <c r="C9" s="1070">
        <f t="shared" ref="C9:C22" si="0">F9</f>
        <v>1000000</v>
      </c>
      <c r="D9" s="1074"/>
      <c r="F9" s="1033">
        <f>SUMIFS(金銭出納簿!G:G,金銭出納簿!D:D,"〇",金銭出納簿!E:E,B9)</f>
        <v>1000000</v>
      </c>
    </row>
    <row r="10" spans="1:10" ht="21.75" customHeight="1">
      <c r="A10" s="1064"/>
      <c r="B10" s="1067" t="s">
        <v>720</v>
      </c>
      <c r="C10" s="1070">
        <f t="shared" si="0"/>
        <v>120000</v>
      </c>
      <c r="D10" s="1074"/>
      <c r="F10" s="1033">
        <f>SUMIFS(金銭出納簿!G:G,金銭出納簿!D:D,"〇",金銭出納簿!E:E,B10)</f>
        <v>120000</v>
      </c>
    </row>
    <row r="11" spans="1:10" ht="21.75" customHeight="1">
      <c r="A11" s="1064"/>
      <c r="B11" s="1067" t="s">
        <v>657</v>
      </c>
      <c r="C11" s="1070">
        <f t="shared" si="0"/>
        <v>12700</v>
      </c>
      <c r="D11" s="1074"/>
      <c r="F11" s="1033">
        <f>SUMIFS(金銭出納簿!G:G,金銭出納簿!D:D,"〇",金銭出納簿!E:E,B11)</f>
        <v>12700</v>
      </c>
    </row>
    <row r="12" spans="1:10" ht="21.75" customHeight="1">
      <c r="A12" s="1064"/>
      <c r="B12" s="1067" t="s">
        <v>718</v>
      </c>
      <c r="C12" s="1070">
        <f t="shared" si="0"/>
        <v>450355</v>
      </c>
      <c r="D12" s="1074"/>
      <c r="F12" s="1033">
        <f>SUMIFS(金銭出納簿!G:G,金銭出納簿!D:D,"〇",金銭出納簿!E:E,B12)</f>
        <v>450355</v>
      </c>
    </row>
    <row r="13" spans="1:10" ht="21.75" customHeight="1">
      <c r="A13" s="1064"/>
      <c r="B13" s="1055" t="s">
        <v>375</v>
      </c>
      <c r="C13" s="1070">
        <f t="shared" si="0"/>
        <v>871623</v>
      </c>
      <c r="D13" s="1074"/>
      <c r="F13" s="1033">
        <f>SUMIFS(金銭出納簿!G:G,金銭出納簿!D:D,"〇",金銭出納簿!E:E,B13)</f>
        <v>871623</v>
      </c>
    </row>
    <row r="14" spans="1:10" ht="21.75" customHeight="1">
      <c r="A14" s="1064"/>
      <c r="B14" s="1055" t="s">
        <v>204</v>
      </c>
      <c r="C14" s="1070">
        <f t="shared" si="0"/>
        <v>56200</v>
      </c>
      <c r="D14" s="1074"/>
      <c r="F14" s="1033">
        <f>SUMIFS(金銭出納簿!G:G,金銭出納簿!D:D,"〇",金銭出納簿!E:E,B14)</f>
        <v>56200</v>
      </c>
    </row>
    <row r="15" spans="1:10" ht="21.75" customHeight="1">
      <c r="A15" s="1064"/>
      <c r="B15" s="1055" t="s">
        <v>376</v>
      </c>
      <c r="C15" s="1070">
        <f t="shared" si="0"/>
        <v>3372350</v>
      </c>
      <c r="D15" s="1074"/>
      <c r="F15" s="1033">
        <f>SUMIFS(金銭出納簿!G:G,金銭出納簿!D:D,"〇",金銭出納簿!E:E,B15)</f>
        <v>3372350</v>
      </c>
    </row>
    <row r="16" spans="1:10" ht="21.75" customHeight="1">
      <c r="A16" s="1064"/>
      <c r="B16" s="1055" t="s">
        <v>658</v>
      </c>
      <c r="C16" s="1070">
        <f t="shared" si="0"/>
        <v>19800</v>
      </c>
      <c r="D16" s="1074"/>
      <c r="F16" s="1033">
        <f>SUMIFS(金銭出納簿!G:G,金銭出納簿!D:D,"〇",金銭出納簿!E:E,B16)</f>
        <v>19800</v>
      </c>
    </row>
    <row r="17" spans="1:6" ht="21.75" customHeight="1">
      <c r="A17" s="1064"/>
      <c r="B17" s="1055" t="s">
        <v>85</v>
      </c>
      <c r="C17" s="1070">
        <f t="shared" si="0"/>
        <v>13980</v>
      </c>
      <c r="D17" s="1074"/>
      <c r="F17" s="1033">
        <f>SUMIFS(金銭出納簿!G:G,金銭出納簿!D:D,"〇",金銭出納簿!E:E,B17)</f>
        <v>13980</v>
      </c>
    </row>
    <row r="18" spans="1:6" ht="21.75" customHeight="1">
      <c r="A18" s="1064"/>
      <c r="B18" s="1055" t="s">
        <v>378</v>
      </c>
      <c r="C18" s="1070">
        <f t="shared" si="0"/>
        <v>0</v>
      </c>
      <c r="D18" s="1074"/>
      <c r="F18" s="1033">
        <f>SUMIFS(金銭出納簿!G:G,金銭出納簿!D:D,"〇",金銭出納簿!E:E,B18)</f>
        <v>0</v>
      </c>
    </row>
    <row r="19" spans="1:6" ht="21.75" customHeight="1">
      <c r="A19" s="1064"/>
      <c r="B19" s="1055" t="s">
        <v>113</v>
      </c>
      <c r="C19" s="1070">
        <f t="shared" si="0"/>
        <v>0</v>
      </c>
      <c r="D19" s="1074"/>
      <c r="F19" s="1033">
        <f>SUMIFS(金銭出納簿!G:G,金銭出納簿!D:D,"〇",金銭出納簿!E:E,B19)</f>
        <v>0</v>
      </c>
    </row>
    <row r="20" spans="1:6" ht="21.75" customHeight="1">
      <c r="A20" s="1064"/>
      <c r="B20" s="1055" t="s">
        <v>351</v>
      </c>
      <c r="C20" s="1070">
        <f t="shared" si="0"/>
        <v>67600</v>
      </c>
      <c r="D20" s="1074"/>
      <c r="F20" s="1033">
        <f>SUMIFS(金銭出納簿!G:G,金銭出納簿!D:D,"〇",金銭出納簿!E:E,B20)</f>
        <v>67600</v>
      </c>
    </row>
    <row r="21" spans="1:6" ht="21.75" customHeight="1">
      <c r="A21" s="1064"/>
      <c r="B21" s="1055" t="s">
        <v>110</v>
      </c>
      <c r="C21" s="1070">
        <f t="shared" si="0"/>
        <v>300000</v>
      </c>
      <c r="D21" s="1074"/>
      <c r="F21" s="1033">
        <f>SUMIFS(金銭出納簿!G:G,金銭出納簿!D:D,"〇",金銭出納簿!E:E,B21)</f>
        <v>300000</v>
      </c>
    </row>
    <row r="22" spans="1:6" ht="21.75" customHeight="1">
      <c r="A22" s="1064"/>
      <c r="B22" s="1055" t="s">
        <v>416</v>
      </c>
      <c r="C22" s="1070">
        <f t="shared" si="0"/>
        <v>14328</v>
      </c>
      <c r="D22" s="1074"/>
      <c r="F22" s="1033">
        <f>SUMIFS(金銭出納簿!G:G,金銭出納簿!D:D,"〇",金銭出納簿!E:E,B22)</f>
        <v>14328</v>
      </c>
    </row>
    <row r="23" spans="1:6" ht="21.75" customHeight="1">
      <c r="A23" s="1065"/>
      <c r="B23" s="30" t="s">
        <v>337</v>
      </c>
      <c r="C23" s="1070">
        <f>SUM(C9:C22)</f>
        <v>6298936</v>
      </c>
      <c r="D23" s="1074"/>
    </row>
    <row r="24" spans="1:6" ht="21.75" customHeight="1">
      <c r="A24" s="1066" t="s">
        <v>606</v>
      </c>
      <c r="B24" s="1068"/>
      <c r="C24" s="1070">
        <f>C8-C23</f>
        <v>501079</v>
      </c>
      <c r="D24" s="1074"/>
    </row>
    <row r="25" spans="1:6" ht="21.75" customHeight="1">
      <c r="A25" s="1066" t="s">
        <v>719</v>
      </c>
      <c r="B25" s="1068"/>
      <c r="C25" s="1070"/>
      <c r="D25" s="1074"/>
    </row>
    <row r="26" spans="1:6" ht="13.5"/>
    <row r="27" spans="1:6" ht="21.75" customHeight="1">
      <c r="B27" s="1069" t="s">
        <v>72</v>
      </c>
      <c r="C27" s="1071"/>
    </row>
    <row r="28" spans="1:6" ht="21.75" customHeight="1">
      <c r="B28" s="1055" t="s">
        <v>723</v>
      </c>
      <c r="C28" s="1072">
        <f>F28</f>
        <v>149580</v>
      </c>
      <c r="F28" s="1033">
        <f>SUMIFS(金銭出納簿!G:G,金銭出納簿!D:D,"〇",金銭出納簿!K:K,"〇")</f>
        <v>149580</v>
      </c>
    </row>
    <row r="29" spans="1:6" ht="21.75" customHeight="1">
      <c r="B29" s="1055" t="s">
        <v>10</v>
      </c>
      <c r="C29" s="1072">
        <f>F29</f>
        <v>0</v>
      </c>
      <c r="F29" s="1033">
        <f>SUMIFS(金銭出納簿!G:G,金銭出納簿!D:D,"〇",金銭出納簿!L:L,"〇")</f>
        <v>0</v>
      </c>
    </row>
    <row r="30" spans="1:6" ht="21.75" customHeight="1">
      <c r="B30" s="1055" t="s">
        <v>533</v>
      </c>
      <c r="C30" s="1072">
        <f>F30</f>
        <v>300000</v>
      </c>
      <c r="F30" s="1033">
        <f>SUMIFS(金銭出納簿!G:G,金銭出納簿!D:D,"〇",金銭出納簿!M:M,"〇")</f>
        <v>300000</v>
      </c>
    </row>
    <row r="31" spans="1:6" ht="21.75" customHeight="1">
      <c r="B31" s="1055" t="s">
        <v>38</v>
      </c>
      <c r="C31" s="1072">
        <f>F31</f>
        <v>3259350</v>
      </c>
      <c r="F31" s="1033">
        <f>SUMIFS(金銭出納簿!G:G,金銭出納簿!D:D,"〇",金銭出納簿!N:N,"〇")</f>
        <v>3259350</v>
      </c>
    </row>
    <row r="32" spans="1:6" ht="27" customHeight="1">
      <c r="B32" s="27" t="s">
        <v>770</v>
      </c>
      <c r="C32" s="1072">
        <f>SUM(C28:C31)</f>
        <v>3708930</v>
      </c>
    </row>
  </sheetData>
  <mergeCells count="6">
    <mergeCell ref="A3:B3"/>
    <mergeCell ref="A24:B24"/>
    <mergeCell ref="A25:B25"/>
    <mergeCell ref="B27:C27"/>
    <mergeCell ref="A4:A8"/>
    <mergeCell ref="A9:A23"/>
  </mergeCells>
  <phoneticPr fontId="5"/>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sheetPr>
  <dimension ref="A1:H19"/>
  <sheetViews>
    <sheetView showZeros="0" view="pageBreakPreview" zoomScaleSheetLayoutView="100" workbookViewId="0">
      <selection activeCell="B18" sqref="B18"/>
    </sheetView>
  </sheetViews>
  <sheetFormatPr defaultRowHeight="27" customHeight="1"/>
  <cols>
    <col min="1" max="1" width="4.625" style="1033" customWidth="1"/>
    <col min="2" max="2" width="14.375" style="1033" customWidth="1"/>
    <col min="3" max="8" width="11.625" style="1033" customWidth="1"/>
    <col min="9" max="16384" width="9" style="1033" customWidth="1"/>
  </cols>
  <sheetData>
    <row r="1" spans="1:8" ht="27" customHeight="1">
      <c r="A1" s="1033" t="s">
        <v>438</v>
      </c>
    </row>
    <row r="2" spans="1:8" ht="27" customHeight="1">
      <c r="A2" s="1033" t="s">
        <v>127</v>
      </c>
    </row>
    <row r="3" spans="1:8" ht="27" customHeight="1">
      <c r="A3" s="1033" t="s">
        <v>788</v>
      </c>
    </row>
    <row r="4" spans="1:8" ht="27" customHeight="1">
      <c r="A4" s="1075"/>
      <c r="H4" s="1082" t="s">
        <v>184</v>
      </c>
    </row>
    <row r="5" spans="1:8" ht="35.25" customHeight="1">
      <c r="A5" s="1076"/>
      <c r="B5" s="1077"/>
      <c r="C5" s="1079" t="s">
        <v>468</v>
      </c>
      <c r="D5" s="1078" t="s">
        <v>828</v>
      </c>
      <c r="E5" s="1078" t="s">
        <v>829</v>
      </c>
      <c r="F5" s="1078" t="s">
        <v>830</v>
      </c>
      <c r="G5" s="1078" t="s">
        <v>2</v>
      </c>
      <c r="H5" s="1078" t="s">
        <v>831</v>
      </c>
    </row>
    <row r="6" spans="1:8" ht="27" customHeight="1">
      <c r="B6" s="1078" t="s">
        <v>789</v>
      </c>
      <c r="C6" s="1080"/>
      <c r="D6" s="1080"/>
      <c r="E6" s="1080"/>
      <c r="F6" s="1080"/>
      <c r="G6" s="1080"/>
      <c r="H6" s="1080"/>
    </row>
    <row r="7" spans="1:8" ht="27" customHeight="1">
      <c r="B7" s="1078" t="s">
        <v>790</v>
      </c>
      <c r="C7" s="1080"/>
      <c r="D7" s="1080"/>
      <c r="E7" s="1080"/>
      <c r="F7" s="1080"/>
      <c r="G7" s="1080"/>
      <c r="H7" s="1080"/>
    </row>
    <row r="8" spans="1:8" ht="27" customHeight="1">
      <c r="B8" s="1078" t="s">
        <v>491</v>
      </c>
      <c r="C8" s="1080"/>
      <c r="D8" s="1080"/>
      <c r="E8" s="1080"/>
      <c r="F8" s="1080"/>
      <c r="G8" s="1080"/>
      <c r="H8" s="1080"/>
    </row>
    <row r="10" spans="1:8" ht="27" customHeight="1">
      <c r="A10" s="1033" t="s">
        <v>371</v>
      </c>
    </row>
    <row r="11" spans="1:8" ht="54" customHeight="1">
      <c r="B11" s="1078" t="s">
        <v>211</v>
      </c>
      <c r="C11" s="1078"/>
      <c r="D11" s="1079" t="s">
        <v>791</v>
      </c>
      <c r="E11" s="1078"/>
      <c r="F11" s="1078" t="s">
        <v>776</v>
      </c>
      <c r="G11" s="1078" t="s">
        <v>792</v>
      </c>
      <c r="H11" s="1078"/>
    </row>
    <row r="12" spans="1:8" ht="27" customHeight="1">
      <c r="B12" s="1078"/>
      <c r="C12" s="1078"/>
      <c r="D12" s="1079"/>
      <c r="E12" s="1078"/>
      <c r="F12" s="1078"/>
      <c r="G12" s="1078"/>
      <c r="H12" s="1078"/>
    </row>
    <row r="13" spans="1:8" ht="27" customHeight="1">
      <c r="B13" s="1078"/>
      <c r="C13" s="1078"/>
      <c r="D13" s="1079"/>
      <c r="E13" s="1078"/>
      <c r="F13" s="1078"/>
      <c r="G13" s="1078"/>
      <c r="H13" s="1078"/>
    </row>
    <row r="14" spans="1:8" ht="27" customHeight="1">
      <c r="B14" s="1078"/>
      <c r="C14" s="1078"/>
      <c r="D14" s="1079"/>
      <c r="E14" s="1078"/>
      <c r="F14" s="1078"/>
      <c r="G14" s="1078"/>
      <c r="H14" s="1078"/>
    </row>
    <row r="15" spans="1:8" ht="27" customHeight="1">
      <c r="B15" s="36"/>
      <c r="C15" s="36"/>
      <c r="D15" s="1081"/>
      <c r="E15" s="36"/>
      <c r="F15" s="36"/>
      <c r="G15" s="36"/>
      <c r="H15" s="36"/>
    </row>
    <row r="16" spans="1:8" ht="27" customHeight="1">
      <c r="A16" s="1033" t="s">
        <v>793</v>
      </c>
    </row>
    <row r="17" spans="2:2" ht="27" customHeight="1">
      <c r="B17" s="1033" t="s">
        <v>471</v>
      </c>
    </row>
    <row r="18" spans="2:2" ht="27" customHeight="1">
      <c r="B18" s="1033" t="s">
        <v>795</v>
      </c>
    </row>
    <row r="19" spans="2:2" ht="27" customHeight="1">
      <c r="B19" s="1033" t="s">
        <v>796</v>
      </c>
    </row>
  </sheetData>
  <mergeCells count="12">
    <mergeCell ref="B11:C11"/>
    <mergeCell ref="D11:E11"/>
    <mergeCell ref="G11:H11"/>
    <mergeCell ref="B12:C12"/>
    <mergeCell ref="D12:E12"/>
    <mergeCell ref="G12:H12"/>
    <mergeCell ref="B13:C13"/>
    <mergeCell ref="D13:E13"/>
    <mergeCell ref="G13:H13"/>
    <mergeCell ref="B14:C14"/>
    <mergeCell ref="D14:E14"/>
    <mergeCell ref="G14:H14"/>
  </mergeCells>
  <phoneticPr fontId="5"/>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sheetPr>
  <dimension ref="A1:AO47"/>
  <sheetViews>
    <sheetView view="pageBreakPreview" zoomScaleNormal="85" zoomScaleSheetLayoutView="100" workbookViewId="0">
      <selection activeCell="AO5" sqref="AO5"/>
    </sheetView>
  </sheetViews>
  <sheetFormatPr defaultColWidth="8" defaultRowHeight="12"/>
  <cols>
    <col min="1" max="1" width="3.125" style="1083" customWidth="1"/>
    <col min="2" max="11" width="2.375" style="1083" customWidth="1"/>
    <col min="12" max="12" width="2.25" style="1083" customWidth="1"/>
    <col min="13" max="34" width="2.375" style="1083" customWidth="1"/>
    <col min="35" max="35" width="7.375" style="1083" customWidth="1"/>
    <col min="36" max="38" width="2.375" style="1083" customWidth="1"/>
    <col min="39" max="39" width="4.75" style="1083" customWidth="1"/>
    <col min="40" max="40" width="2.375" style="1083" customWidth="1"/>
    <col min="41" max="41" width="5.375" style="1083" customWidth="1"/>
    <col min="42" max="76" width="2.375" style="1083" customWidth="1"/>
    <col min="77" max="256" width="8" style="1083"/>
    <col min="257" max="257" width="3.125" style="1083" customWidth="1"/>
    <col min="258" max="267" width="2.375" style="1083" customWidth="1"/>
    <col min="268" max="268" width="2.25" style="1083" customWidth="1"/>
    <col min="269" max="290" width="2.375" style="1083" customWidth="1"/>
    <col min="291" max="291" width="7.375" style="1083" customWidth="1"/>
    <col min="292" max="294" width="2.375" style="1083" customWidth="1"/>
    <col min="295" max="295" width="4.75" style="1083" customWidth="1"/>
    <col min="296" max="296" width="2.375" style="1083" customWidth="1"/>
    <col min="297" max="297" width="5.375" style="1083" customWidth="1"/>
    <col min="298" max="332" width="2.375" style="1083" customWidth="1"/>
    <col min="333" max="512" width="8" style="1083"/>
    <col min="513" max="513" width="3.125" style="1083" customWidth="1"/>
    <col min="514" max="523" width="2.375" style="1083" customWidth="1"/>
    <col min="524" max="524" width="2.25" style="1083" customWidth="1"/>
    <col min="525" max="546" width="2.375" style="1083" customWidth="1"/>
    <col min="547" max="547" width="7.375" style="1083" customWidth="1"/>
    <col min="548" max="550" width="2.375" style="1083" customWidth="1"/>
    <col min="551" max="551" width="4.75" style="1083" customWidth="1"/>
    <col min="552" max="552" width="2.375" style="1083" customWidth="1"/>
    <col min="553" max="553" width="5.375" style="1083" customWidth="1"/>
    <col min="554" max="588" width="2.375" style="1083" customWidth="1"/>
    <col min="589" max="768" width="8" style="1083"/>
    <col min="769" max="769" width="3.125" style="1083" customWidth="1"/>
    <col min="770" max="779" width="2.375" style="1083" customWidth="1"/>
    <col min="780" max="780" width="2.25" style="1083" customWidth="1"/>
    <col min="781" max="802" width="2.375" style="1083" customWidth="1"/>
    <col min="803" max="803" width="7.375" style="1083" customWidth="1"/>
    <col min="804" max="806" width="2.375" style="1083" customWidth="1"/>
    <col min="807" max="807" width="4.75" style="1083" customWidth="1"/>
    <col min="808" max="808" width="2.375" style="1083" customWidth="1"/>
    <col min="809" max="809" width="5.375" style="1083" customWidth="1"/>
    <col min="810" max="844" width="2.375" style="1083" customWidth="1"/>
    <col min="845" max="1024" width="8" style="1083"/>
    <col min="1025" max="1025" width="3.125" style="1083" customWidth="1"/>
    <col min="1026" max="1035" width="2.375" style="1083" customWidth="1"/>
    <col min="1036" max="1036" width="2.25" style="1083" customWidth="1"/>
    <col min="1037" max="1058" width="2.375" style="1083" customWidth="1"/>
    <col min="1059" max="1059" width="7.375" style="1083" customWidth="1"/>
    <col min="1060" max="1062" width="2.375" style="1083" customWidth="1"/>
    <col min="1063" max="1063" width="4.75" style="1083" customWidth="1"/>
    <col min="1064" max="1064" width="2.375" style="1083" customWidth="1"/>
    <col min="1065" max="1065" width="5.375" style="1083" customWidth="1"/>
    <col min="1066" max="1100" width="2.375" style="1083" customWidth="1"/>
    <col min="1101" max="1280" width="8" style="1083"/>
    <col min="1281" max="1281" width="3.125" style="1083" customWidth="1"/>
    <col min="1282" max="1291" width="2.375" style="1083" customWidth="1"/>
    <col min="1292" max="1292" width="2.25" style="1083" customWidth="1"/>
    <col min="1293" max="1314" width="2.375" style="1083" customWidth="1"/>
    <col min="1315" max="1315" width="7.375" style="1083" customWidth="1"/>
    <col min="1316" max="1318" width="2.375" style="1083" customWidth="1"/>
    <col min="1319" max="1319" width="4.75" style="1083" customWidth="1"/>
    <col min="1320" max="1320" width="2.375" style="1083" customWidth="1"/>
    <col min="1321" max="1321" width="5.375" style="1083" customWidth="1"/>
    <col min="1322" max="1356" width="2.375" style="1083" customWidth="1"/>
    <col min="1357" max="1536" width="8" style="1083"/>
    <col min="1537" max="1537" width="3.125" style="1083" customWidth="1"/>
    <col min="1538" max="1547" width="2.375" style="1083" customWidth="1"/>
    <col min="1548" max="1548" width="2.25" style="1083" customWidth="1"/>
    <col min="1549" max="1570" width="2.375" style="1083" customWidth="1"/>
    <col min="1571" max="1571" width="7.375" style="1083" customWidth="1"/>
    <col min="1572" max="1574" width="2.375" style="1083" customWidth="1"/>
    <col min="1575" max="1575" width="4.75" style="1083" customWidth="1"/>
    <col min="1576" max="1576" width="2.375" style="1083" customWidth="1"/>
    <col min="1577" max="1577" width="5.375" style="1083" customWidth="1"/>
    <col min="1578" max="1612" width="2.375" style="1083" customWidth="1"/>
    <col min="1613" max="1792" width="8" style="1083"/>
    <col min="1793" max="1793" width="3.125" style="1083" customWidth="1"/>
    <col min="1794" max="1803" width="2.375" style="1083" customWidth="1"/>
    <col min="1804" max="1804" width="2.25" style="1083" customWidth="1"/>
    <col min="1805" max="1826" width="2.375" style="1083" customWidth="1"/>
    <col min="1827" max="1827" width="7.375" style="1083" customWidth="1"/>
    <col min="1828" max="1830" width="2.375" style="1083" customWidth="1"/>
    <col min="1831" max="1831" width="4.75" style="1083" customWidth="1"/>
    <col min="1832" max="1832" width="2.375" style="1083" customWidth="1"/>
    <col min="1833" max="1833" width="5.375" style="1083" customWidth="1"/>
    <col min="1834" max="1868" width="2.375" style="1083" customWidth="1"/>
    <col min="1869" max="2048" width="8" style="1083"/>
    <col min="2049" max="2049" width="3.125" style="1083" customWidth="1"/>
    <col min="2050" max="2059" width="2.375" style="1083" customWidth="1"/>
    <col min="2060" max="2060" width="2.25" style="1083" customWidth="1"/>
    <col min="2061" max="2082" width="2.375" style="1083" customWidth="1"/>
    <col min="2083" max="2083" width="7.375" style="1083" customWidth="1"/>
    <col min="2084" max="2086" width="2.375" style="1083" customWidth="1"/>
    <col min="2087" max="2087" width="4.75" style="1083" customWidth="1"/>
    <col min="2088" max="2088" width="2.375" style="1083" customWidth="1"/>
    <col min="2089" max="2089" width="5.375" style="1083" customWidth="1"/>
    <col min="2090" max="2124" width="2.375" style="1083" customWidth="1"/>
    <col min="2125" max="2304" width="8" style="1083"/>
    <col min="2305" max="2305" width="3.125" style="1083" customWidth="1"/>
    <col min="2306" max="2315" width="2.375" style="1083" customWidth="1"/>
    <col min="2316" max="2316" width="2.25" style="1083" customWidth="1"/>
    <col min="2317" max="2338" width="2.375" style="1083" customWidth="1"/>
    <col min="2339" max="2339" width="7.375" style="1083" customWidth="1"/>
    <col min="2340" max="2342" width="2.375" style="1083" customWidth="1"/>
    <col min="2343" max="2343" width="4.75" style="1083" customWidth="1"/>
    <col min="2344" max="2344" width="2.375" style="1083" customWidth="1"/>
    <col min="2345" max="2345" width="5.375" style="1083" customWidth="1"/>
    <col min="2346" max="2380" width="2.375" style="1083" customWidth="1"/>
    <col min="2381" max="2560" width="8" style="1083"/>
    <col min="2561" max="2561" width="3.125" style="1083" customWidth="1"/>
    <col min="2562" max="2571" width="2.375" style="1083" customWidth="1"/>
    <col min="2572" max="2572" width="2.25" style="1083" customWidth="1"/>
    <col min="2573" max="2594" width="2.375" style="1083" customWidth="1"/>
    <col min="2595" max="2595" width="7.375" style="1083" customWidth="1"/>
    <col min="2596" max="2598" width="2.375" style="1083" customWidth="1"/>
    <col min="2599" max="2599" width="4.75" style="1083" customWidth="1"/>
    <col min="2600" max="2600" width="2.375" style="1083" customWidth="1"/>
    <col min="2601" max="2601" width="5.375" style="1083" customWidth="1"/>
    <col min="2602" max="2636" width="2.375" style="1083" customWidth="1"/>
    <col min="2637" max="2816" width="8" style="1083"/>
    <col min="2817" max="2817" width="3.125" style="1083" customWidth="1"/>
    <col min="2818" max="2827" width="2.375" style="1083" customWidth="1"/>
    <col min="2828" max="2828" width="2.25" style="1083" customWidth="1"/>
    <col min="2829" max="2850" width="2.375" style="1083" customWidth="1"/>
    <col min="2851" max="2851" width="7.375" style="1083" customWidth="1"/>
    <col min="2852" max="2854" width="2.375" style="1083" customWidth="1"/>
    <col min="2855" max="2855" width="4.75" style="1083" customWidth="1"/>
    <col min="2856" max="2856" width="2.375" style="1083" customWidth="1"/>
    <col min="2857" max="2857" width="5.375" style="1083" customWidth="1"/>
    <col min="2858" max="2892" width="2.375" style="1083" customWidth="1"/>
    <col min="2893" max="3072" width="8" style="1083"/>
    <col min="3073" max="3073" width="3.125" style="1083" customWidth="1"/>
    <col min="3074" max="3083" width="2.375" style="1083" customWidth="1"/>
    <col min="3084" max="3084" width="2.25" style="1083" customWidth="1"/>
    <col min="3085" max="3106" width="2.375" style="1083" customWidth="1"/>
    <col min="3107" max="3107" width="7.375" style="1083" customWidth="1"/>
    <col min="3108" max="3110" width="2.375" style="1083" customWidth="1"/>
    <col min="3111" max="3111" width="4.75" style="1083" customWidth="1"/>
    <col min="3112" max="3112" width="2.375" style="1083" customWidth="1"/>
    <col min="3113" max="3113" width="5.375" style="1083" customWidth="1"/>
    <col min="3114" max="3148" width="2.375" style="1083" customWidth="1"/>
    <col min="3149" max="3328" width="8" style="1083"/>
    <col min="3329" max="3329" width="3.125" style="1083" customWidth="1"/>
    <col min="3330" max="3339" width="2.375" style="1083" customWidth="1"/>
    <col min="3340" max="3340" width="2.25" style="1083" customWidth="1"/>
    <col min="3341" max="3362" width="2.375" style="1083" customWidth="1"/>
    <col min="3363" max="3363" width="7.375" style="1083" customWidth="1"/>
    <col min="3364" max="3366" width="2.375" style="1083" customWidth="1"/>
    <col min="3367" max="3367" width="4.75" style="1083" customWidth="1"/>
    <col min="3368" max="3368" width="2.375" style="1083" customWidth="1"/>
    <col min="3369" max="3369" width="5.375" style="1083" customWidth="1"/>
    <col min="3370" max="3404" width="2.375" style="1083" customWidth="1"/>
    <col min="3405" max="3584" width="8" style="1083"/>
    <col min="3585" max="3585" width="3.125" style="1083" customWidth="1"/>
    <col min="3586" max="3595" width="2.375" style="1083" customWidth="1"/>
    <col min="3596" max="3596" width="2.25" style="1083" customWidth="1"/>
    <col min="3597" max="3618" width="2.375" style="1083" customWidth="1"/>
    <col min="3619" max="3619" width="7.375" style="1083" customWidth="1"/>
    <col min="3620" max="3622" width="2.375" style="1083" customWidth="1"/>
    <col min="3623" max="3623" width="4.75" style="1083" customWidth="1"/>
    <col min="3624" max="3624" width="2.375" style="1083" customWidth="1"/>
    <col min="3625" max="3625" width="5.375" style="1083" customWidth="1"/>
    <col min="3626" max="3660" width="2.375" style="1083" customWidth="1"/>
    <col min="3661" max="3840" width="8" style="1083"/>
    <col min="3841" max="3841" width="3.125" style="1083" customWidth="1"/>
    <col min="3842" max="3851" width="2.375" style="1083" customWidth="1"/>
    <col min="3852" max="3852" width="2.25" style="1083" customWidth="1"/>
    <col min="3853" max="3874" width="2.375" style="1083" customWidth="1"/>
    <col min="3875" max="3875" width="7.375" style="1083" customWidth="1"/>
    <col min="3876" max="3878" width="2.375" style="1083" customWidth="1"/>
    <col min="3879" max="3879" width="4.75" style="1083" customWidth="1"/>
    <col min="3880" max="3880" width="2.375" style="1083" customWidth="1"/>
    <col min="3881" max="3881" width="5.375" style="1083" customWidth="1"/>
    <col min="3882" max="3916" width="2.375" style="1083" customWidth="1"/>
    <col min="3917" max="4096" width="8" style="1083"/>
    <col min="4097" max="4097" width="3.125" style="1083" customWidth="1"/>
    <col min="4098" max="4107" width="2.375" style="1083" customWidth="1"/>
    <col min="4108" max="4108" width="2.25" style="1083" customWidth="1"/>
    <col min="4109" max="4130" width="2.375" style="1083" customWidth="1"/>
    <col min="4131" max="4131" width="7.375" style="1083" customWidth="1"/>
    <col min="4132" max="4134" width="2.375" style="1083" customWidth="1"/>
    <col min="4135" max="4135" width="4.75" style="1083" customWidth="1"/>
    <col min="4136" max="4136" width="2.375" style="1083" customWidth="1"/>
    <col min="4137" max="4137" width="5.375" style="1083" customWidth="1"/>
    <col min="4138" max="4172" width="2.375" style="1083" customWidth="1"/>
    <col min="4173" max="4352" width="8" style="1083"/>
    <col min="4353" max="4353" width="3.125" style="1083" customWidth="1"/>
    <col min="4354" max="4363" width="2.375" style="1083" customWidth="1"/>
    <col min="4364" max="4364" width="2.25" style="1083" customWidth="1"/>
    <col min="4365" max="4386" width="2.375" style="1083" customWidth="1"/>
    <col min="4387" max="4387" width="7.375" style="1083" customWidth="1"/>
    <col min="4388" max="4390" width="2.375" style="1083" customWidth="1"/>
    <col min="4391" max="4391" width="4.75" style="1083" customWidth="1"/>
    <col min="4392" max="4392" width="2.375" style="1083" customWidth="1"/>
    <col min="4393" max="4393" width="5.375" style="1083" customWidth="1"/>
    <col min="4394" max="4428" width="2.375" style="1083" customWidth="1"/>
    <col min="4429" max="4608" width="8" style="1083"/>
    <col min="4609" max="4609" width="3.125" style="1083" customWidth="1"/>
    <col min="4610" max="4619" width="2.375" style="1083" customWidth="1"/>
    <col min="4620" max="4620" width="2.25" style="1083" customWidth="1"/>
    <col min="4621" max="4642" width="2.375" style="1083" customWidth="1"/>
    <col min="4643" max="4643" width="7.375" style="1083" customWidth="1"/>
    <col min="4644" max="4646" width="2.375" style="1083" customWidth="1"/>
    <col min="4647" max="4647" width="4.75" style="1083" customWidth="1"/>
    <col min="4648" max="4648" width="2.375" style="1083" customWidth="1"/>
    <col min="4649" max="4649" width="5.375" style="1083" customWidth="1"/>
    <col min="4650" max="4684" width="2.375" style="1083" customWidth="1"/>
    <col min="4685" max="4864" width="8" style="1083"/>
    <col min="4865" max="4865" width="3.125" style="1083" customWidth="1"/>
    <col min="4866" max="4875" width="2.375" style="1083" customWidth="1"/>
    <col min="4876" max="4876" width="2.25" style="1083" customWidth="1"/>
    <col min="4877" max="4898" width="2.375" style="1083" customWidth="1"/>
    <col min="4899" max="4899" width="7.375" style="1083" customWidth="1"/>
    <col min="4900" max="4902" width="2.375" style="1083" customWidth="1"/>
    <col min="4903" max="4903" width="4.75" style="1083" customWidth="1"/>
    <col min="4904" max="4904" width="2.375" style="1083" customWidth="1"/>
    <col min="4905" max="4905" width="5.375" style="1083" customWidth="1"/>
    <col min="4906" max="4940" width="2.375" style="1083" customWidth="1"/>
    <col min="4941" max="5120" width="8" style="1083"/>
    <col min="5121" max="5121" width="3.125" style="1083" customWidth="1"/>
    <col min="5122" max="5131" width="2.375" style="1083" customWidth="1"/>
    <col min="5132" max="5132" width="2.25" style="1083" customWidth="1"/>
    <col min="5133" max="5154" width="2.375" style="1083" customWidth="1"/>
    <col min="5155" max="5155" width="7.375" style="1083" customWidth="1"/>
    <col min="5156" max="5158" width="2.375" style="1083" customWidth="1"/>
    <col min="5159" max="5159" width="4.75" style="1083" customWidth="1"/>
    <col min="5160" max="5160" width="2.375" style="1083" customWidth="1"/>
    <col min="5161" max="5161" width="5.375" style="1083" customWidth="1"/>
    <col min="5162" max="5196" width="2.375" style="1083" customWidth="1"/>
    <col min="5197" max="5376" width="8" style="1083"/>
    <col min="5377" max="5377" width="3.125" style="1083" customWidth="1"/>
    <col min="5378" max="5387" width="2.375" style="1083" customWidth="1"/>
    <col min="5388" max="5388" width="2.25" style="1083" customWidth="1"/>
    <col min="5389" max="5410" width="2.375" style="1083" customWidth="1"/>
    <col min="5411" max="5411" width="7.375" style="1083" customWidth="1"/>
    <col min="5412" max="5414" width="2.375" style="1083" customWidth="1"/>
    <col min="5415" max="5415" width="4.75" style="1083" customWidth="1"/>
    <col min="5416" max="5416" width="2.375" style="1083" customWidth="1"/>
    <col min="5417" max="5417" width="5.375" style="1083" customWidth="1"/>
    <col min="5418" max="5452" width="2.375" style="1083" customWidth="1"/>
    <col min="5453" max="5632" width="8" style="1083"/>
    <col min="5633" max="5633" width="3.125" style="1083" customWidth="1"/>
    <col min="5634" max="5643" width="2.375" style="1083" customWidth="1"/>
    <col min="5644" max="5644" width="2.25" style="1083" customWidth="1"/>
    <col min="5645" max="5666" width="2.375" style="1083" customWidth="1"/>
    <col min="5667" max="5667" width="7.375" style="1083" customWidth="1"/>
    <col min="5668" max="5670" width="2.375" style="1083" customWidth="1"/>
    <col min="5671" max="5671" width="4.75" style="1083" customWidth="1"/>
    <col min="5672" max="5672" width="2.375" style="1083" customWidth="1"/>
    <col min="5673" max="5673" width="5.375" style="1083" customWidth="1"/>
    <col min="5674" max="5708" width="2.375" style="1083" customWidth="1"/>
    <col min="5709" max="5888" width="8" style="1083"/>
    <col min="5889" max="5889" width="3.125" style="1083" customWidth="1"/>
    <col min="5890" max="5899" width="2.375" style="1083" customWidth="1"/>
    <col min="5900" max="5900" width="2.25" style="1083" customWidth="1"/>
    <col min="5901" max="5922" width="2.375" style="1083" customWidth="1"/>
    <col min="5923" max="5923" width="7.375" style="1083" customWidth="1"/>
    <col min="5924" max="5926" width="2.375" style="1083" customWidth="1"/>
    <col min="5927" max="5927" width="4.75" style="1083" customWidth="1"/>
    <col min="5928" max="5928" width="2.375" style="1083" customWidth="1"/>
    <col min="5929" max="5929" width="5.375" style="1083" customWidth="1"/>
    <col min="5930" max="5964" width="2.375" style="1083" customWidth="1"/>
    <col min="5965" max="6144" width="8" style="1083"/>
    <col min="6145" max="6145" width="3.125" style="1083" customWidth="1"/>
    <col min="6146" max="6155" width="2.375" style="1083" customWidth="1"/>
    <col min="6156" max="6156" width="2.25" style="1083" customWidth="1"/>
    <col min="6157" max="6178" width="2.375" style="1083" customWidth="1"/>
    <col min="6179" max="6179" width="7.375" style="1083" customWidth="1"/>
    <col min="6180" max="6182" width="2.375" style="1083" customWidth="1"/>
    <col min="6183" max="6183" width="4.75" style="1083" customWidth="1"/>
    <col min="6184" max="6184" width="2.375" style="1083" customWidth="1"/>
    <col min="6185" max="6185" width="5.375" style="1083" customWidth="1"/>
    <col min="6186" max="6220" width="2.375" style="1083" customWidth="1"/>
    <col min="6221" max="6400" width="8" style="1083"/>
    <col min="6401" max="6401" width="3.125" style="1083" customWidth="1"/>
    <col min="6402" max="6411" width="2.375" style="1083" customWidth="1"/>
    <col min="6412" max="6412" width="2.25" style="1083" customWidth="1"/>
    <col min="6413" max="6434" width="2.375" style="1083" customWidth="1"/>
    <col min="6435" max="6435" width="7.375" style="1083" customWidth="1"/>
    <col min="6436" max="6438" width="2.375" style="1083" customWidth="1"/>
    <col min="6439" max="6439" width="4.75" style="1083" customWidth="1"/>
    <col min="6440" max="6440" width="2.375" style="1083" customWidth="1"/>
    <col min="6441" max="6441" width="5.375" style="1083" customWidth="1"/>
    <col min="6442" max="6476" width="2.375" style="1083" customWidth="1"/>
    <col min="6477" max="6656" width="8" style="1083"/>
    <col min="6657" max="6657" width="3.125" style="1083" customWidth="1"/>
    <col min="6658" max="6667" width="2.375" style="1083" customWidth="1"/>
    <col min="6668" max="6668" width="2.25" style="1083" customWidth="1"/>
    <col min="6669" max="6690" width="2.375" style="1083" customWidth="1"/>
    <col min="6691" max="6691" width="7.375" style="1083" customWidth="1"/>
    <col min="6692" max="6694" width="2.375" style="1083" customWidth="1"/>
    <col min="6695" max="6695" width="4.75" style="1083" customWidth="1"/>
    <col min="6696" max="6696" width="2.375" style="1083" customWidth="1"/>
    <col min="6697" max="6697" width="5.375" style="1083" customWidth="1"/>
    <col min="6698" max="6732" width="2.375" style="1083" customWidth="1"/>
    <col min="6733" max="6912" width="8" style="1083"/>
    <col min="6913" max="6913" width="3.125" style="1083" customWidth="1"/>
    <col min="6914" max="6923" width="2.375" style="1083" customWidth="1"/>
    <col min="6924" max="6924" width="2.25" style="1083" customWidth="1"/>
    <col min="6925" max="6946" width="2.375" style="1083" customWidth="1"/>
    <col min="6947" max="6947" width="7.375" style="1083" customWidth="1"/>
    <col min="6948" max="6950" width="2.375" style="1083" customWidth="1"/>
    <col min="6951" max="6951" width="4.75" style="1083" customWidth="1"/>
    <col min="6952" max="6952" width="2.375" style="1083" customWidth="1"/>
    <col min="6953" max="6953" width="5.375" style="1083" customWidth="1"/>
    <col min="6954" max="6988" width="2.375" style="1083" customWidth="1"/>
    <col min="6989" max="7168" width="8" style="1083"/>
    <col min="7169" max="7169" width="3.125" style="1083" customWidth="1"/>
    <col min="7170" max="7179" width="2.375" style="1083" customWidth="1"/>
    <col min="7180" max="7180" width="2.25" style="1083" customWidth="1"/>
    <col min="7181" max="7202" width="2.375" style="1083" customWidth="1"/>
    <col min="7203" max="7203" width="7.375" style="1083" customWidth="1"/>
    <col min="7204" max="7206" width="2.375" style="1083" customWidth="1"/>
    <col min="7207" max="7207" width="4.75" style="1083" customWidth="1"/>
    <col min="7208" max="7208" width="2.375" style="1083" customWidth="1"/>
    <col min="7209" max="7209" width="5.375" style="1083" customWidth="1"/>
    <col min="7210" max="7244" width="2.375" style="1083" customWidth="1"/>
    <col min="7245" max="7424" width="8" style="1083"/>
    <col min="7425" max="7425" width="3.125" style="1083" customWidth="1"/>
    <col min="7426" max="7435" width="2.375" style="1083" customWidth="1"/>
    <col min="7436" max="7436" width="2.25" style="1083" customWidth="1"/>
    <col min="7437" max="7458" width="2.375" style="1083" customWidth="1"/>
    <col min="7459" max="7459" width="7.375" style="1083" customWidth="1"/>
    <col min="7460" max="7462" width="2.375" style="1083" customWidth="1"/>
    <col min="7463" max="7463" width="4.75" style="1083" customWidth="1"/>
    <col min="7464" max="7464" width="2.375" style="1083" customWidth="1"/>
    <col min="7465" max="7465" width="5.375" style="1083" customWidth="1"/>
    <col min="7466" max="7500" width="2.375" style="1083" customWidth="1"/>
    <col min="7501" max="7680" width="8" style="1083"/>
    <col min="7681" max="7681" width="3.125" style="1083" customWidth="1"/>
    <col min="7682" max="7691" width="2.375" style="1083" customWidth="1"/>
    <col min="7692" max="7692" width="2.25" style="1083" customWidth="1"/>
    <col min="7693" max="7714" width="2.375" style="1083" customWidth="1"/>
    <col min="7715" max="7715" width="7.375" style="1083" customWidth="1"/>
    <col min="7716" max="7718" width="2.375" style="1083" customWidth="1"/>
    <col min="7719" max="7719" width="4.75" style="1083" customWidth="1"/>
    <col min="7720" max="7720" width="2.375" style="1083" customWidth="1"/>
    <col min="7721" max="7721" width="5.375" style="1083" customWidth="1"/>
    <col min="7722" max="7756" width="2.375" style="1083" customWidth="1"/>
    <col min="7757" max="7936" width="8" style="1083"/>
    <col min="7937" max="7937" width="3.125" style="1083" customWidth="1"/>
    <col min="7938" max="7947" width="2.375" style="1083" customWidth="1"/>
    <col min="7948" max="7948" width="2.25" style="1083" customWidth="1"/>
    <col min="7949" max="7970" width="2.375" style="1083" customWidth="1"/>
    <col min="7971" max="7971" width="7.375" style="1083" customWidth="1"/>
    <col min="7972" max="7974" width="2.375" style="1083" customWidth="1"/>
    <col min="7975" max="7975" width="4.75" style="1083" customWidth="1"/>
    <col min="7976" max="7976" width="2.375" style="1083" customWidth="1"/>
    <col min="7977" max="7977" width="5.375" style="1083" customWidth="1"/>
    <col min="7978" max="8012" width="2.375" style="1083" customWidth="1"/>
    <col min="8013" max="8192" width="8" style="1083"/>
    <col min="8193" max="8193" width="3.125" style="1083" customWidth="1"/>
    <col min="8194" max="8203" width="2.375" style="1083" customWidth="1"/>
    <col min="8204" max="8204" width="2.25" style="1083" customWidth="1"/>
    <col min="8205" max="8226" width="2.375" style="1083" customWidth="1"/>
    <col min="8227" max="8227" width="7.375" style="1083" customWidth="1"/>
    <col min="8228" max="8230" width="2.375" style="1083" customWidth="1"/>
    <col min="8231" max="8231" width="4.75" style="1083" customWidth="1"/>
    <col min="8232" max="8232" width="2.375" style="1083" customWidth="1"/>
    <col min="8233" max="8233" width="5.375" style="1083" customWidth="1"/>
    <col min="8234" max="8268" width="2.375" style="1083" customWidth="1"/>
    <col min="8269" max="8448" width="8" style="1083"/>
    <col min="8449" max="8449" width="3.125" style="1083" customWidth="1"/>
    <col min="8450" max="8459" width="2.375" style="1083" customWidth="1"/>
    <col min="8460" max="8460" width="2.25" style="1083" customWidth="1"/>
    <col min="8461" max="8482" width="2.375" style="1083" customWidth="1"/>
    <col min="8483" max="8483" width="7.375" style="1083" customWidth="1"/>
    <col min="8484" max="8486" width="2.375" style="1083" customWidth="1"/>
    <col min="8487" max="8487" width="4.75" style="1083" customWidth="1"/>
    <col min="8488" max="8488" width="2.375" style="1083" customWidth="1"/>
    <col min="8489" max="8489" width="5.375" style="1083" customWidth="1"/>
    <col min="8490" max="8524" width="2.375" style="1083" customWidth="1"/>
    <col min="8525" max="8704" width="8" style="1083"/>
    <col min="8705" max="8705" width="3.125" style="1083" customWidth="1"/>
    <col min="8706" max="8715" width="2.375" style="1083" customWidth="1"/>
    <col min="8716" max="8716" width="2.25" style="1083" customWidth="1"/>
    <col min="8717" max="8738" width="2.375" style="1083" customWidth="1"/>
    <col min="8739" max="8739" width="7.375" style="1083" customWidth="1"/>
    <col min="8740" max="8742" width="2.375" style="1083" customWidth="1"/>
    <col min="8743" max="8743" width="4.75" style="1083" customWidth="1"/>
    <col min="8744" max="8744" width="2.375" style="1083" customWidth="1"/>
    <col min="8745" max="8745" width="5.375" style="1083" customWidth="1"/>
    <col min="8746" max="8780" width="2.375" style="1083" customWidth="1"/>
    <col min="8781" max="8960" width="8" style="1083"/>
    <col min="8961" max="8961" width="3.125" style="1083" customWidth="1"/>
    <col min="8962" max="8971" width="2.375" style="1083" customWidth="1"/>
    <col min="8972" max="8972" width="2.25" style="1083" customWidth="1"/>
    <col min="8973" max="8994" width="2.375" style="1083" customWidth="1"/>
    <col min="8995" max="8995" width="7.375" style="1083" customWidth="1"/>
    <col min="8996" max="8998" width="2.375" style="1083" customWidth="1"/>
    <col min="8999" max="8999" width="4.75" style="1083" customWidth="1"/>
    <col min="9000" max="9000" width="2.375" style="1083" customWidth="1"/>
    <col min="9001" max="9001" width="5.375" style="1083" customWidth="1"/>
    <col min="9002" max="9036" width="2.375" style="1083" customWidth="1"/>
    <col min="9037" max="9216" width="8" style="1083"/>
    <col min="9217" max="9217" width="3.125" style="1083" customWidth="1"/>
    <col min="9218" max="9227" width="2.375" style="1083" customWidth="1"/>
    <col min="9228" max="9228" width="2.25" style="1083" customWidth="1"/>
    <col min="9229" max="9250" width="2.375" style="1083" customWidth="1"/>
    <col min="9251" max="9251" width="7.375" style="1083" customWidth="1"/>
    <col min="9252" max="9254" width="2.375" style="1083" customWidth="1"/>
    <col min="9255" max="9255" width="4.75" style="1083" customWidth="1"/>
    <col min="9256" max="9256" width="2.375" style="1083" customWidth="1"/>
    <col min="9257" max="9257" width="5.375" style="1083" customWidth="1"/>
    <col min="9258" max="9292" width="2.375" style="1083" customWidth="1"/>
    <col min="9293" max="9472" width="8" style="1083"/>
    <col min="9473" max="9473" width="3.125" style="1083" customWidth="1"/>
    <col min="9474" max="9483" width="2.375" style="1083" customWidth="1"/>
    <col min="9484" max="9484" width="2.25" style="1083" customWidth="1"/>
    <col min="9485" max="9506" width="2.375" style="1083" customWidth="1"/>
    <col min="9507" max="9507" width="7.375" style="1083" customWidth="1"/>
    <col min="9508" max="9510" width="2.375" style="1083" customWidth="1"/>
    <col min="9511" max="9511" width="4.75" style="1083" customWidth="1"/>
    <col min="9512" max="9512" width="2.375" style="1083" customWidth="1"/>
    <col min="9513" max="9513" width="5.375" style="1083" customWidth="1"/>
    <col min="9514" max="9548" width="2.375" style="1083" customWidth="1"/>
    <col min="9549" max="9728" width="8" style="1083"/>
    <col min="9729" max="9729" width="3.125" style="1083" customWidth="1"/>
    <col min="9730" max="9739" width="2.375" style="1083" customWidth="1"/>
    <col min="9740" max="9740" width="2.25" style="1083" customWidth="1"/>
    <col min="9741" max="9762" width="2.375" style="1083" customWidth="1"/>
    <col min="9763" max="9763" width="7.375" style="1083" customWidth="1"/>
    <col min="9764" max="9766" width="2.375" style="1083" customWidth="1"/>
    <col min="9767" max="9767" width="4.75" style="1083" customWidth="1"/>
    <col min="9768" max="9768" width="2.375" style="1083" customWidth="1"/>
    <col min="9769" max="9769" width="5.375" style="1083" customWidth="1"/>
    <col min="9770" max="9804" width="2.375" style="1083" customWidth="1"/>
    <col min="9805" max="9984" width="8" style="1083"/>
    <col min="9985" max="9985" width="3.125" style="1083" customWidth="1"/>
    <col min="9986" max="9995" width="2.375" style="1083" customWidth="1"/>
    <col min="9996" max="9996" width="2.25" style="1083" customWidth="1"/>
    <col min="9997" max="10018" width="2.375" style="1083" customWidth="1"/>
    <col min="10019" max="10019" width="7.375" style="1083" customWidth="1"/>
    <col min="10020" max="10022" width="2.375" style="1083" customWidth="1"/>
    <col min="10023" max="10023" width="4.75" style="1083" customWidth="1"/>
    <col min="10024" max="10024" width="2.375" style="1083" customWidth="1"/>
    <col min="10025" max="10025" width="5.375" style="1083" customWidth="1"/>
    <col min="10026" max="10060" width="2.375" style="1083" customWidth="1"/>
    <col min="10061" max="10240" width="8" style="1083"/>
    <col min="10241" max="10241" width="3.125" style="1083" customWidth="1"/>
    <col min="10242" max="10251" width="2.375" style="1083" customWidth="1"/>
    <col min="10252" max="10252" width="2.25" style="1083" customWidth="1"/>
    <col min="10253" max="10274" width="2.375" style="1083" customWidth="1"/>
    <col min="10275" max="10275" width="7.375" style="1083" customWidth="1"/>
    <col min="10276" max="10278" width="2.375" style="1083" customWidth="1"/>
    <col min="10279" max="10279" width="4.75" style="1083" customWidth="1"/>
    <col min="10280" max="10280" width="2.375" style="1083" customWidth="1"/>
    <col min="10281" max="10281" width="5.375" style="1083" customWidth="1"/>
    <col min="10282" max="10316" width="2.375" style="1083" customWidth="1"/>
    <col min="10317" max="10496" width="8" style="1083"/>
    <col min="10497" max="10497" width="3.125" style="1083" customWidth="1"/>
    <col min="10498" max="10507" width="2.375" style="1083" customWidth="1"/>
    <col min="10508" max="10508" width="2.25" style="1083" customWidth="1"/>
    <col min="10509" max="10530" width="2.375" style="1083" customWidth="1"/>
    <col min="10531" max="10531" width="7.375" style="1083" customWidth="1"/>
    <col min="10532" max="10534" width="2.375" style="1083" customWidth="1"/>
    <col min="10535" max="10535" width="4.75" style="1083" customWidth="1"/>
    <col min="10536" max="10536" width="2.375" style="1083" customWidth="1"/>
    <col min="10537" max="10537" width="5.375" style="1083" customWidth="1"/>
    <col min="10538" max="10572" width="2.375" style="1083" customWidth="1"/>
    <col min="10573" max="10752" width="8" style="1083"/>
    <col min="10753" max="10753" width="3.125" style="1083" customWidth="1"/>
    <col min="10754" max="10763" width="2.375" style="1083" customWidth="1"/>
    <col min="10764" max="10764" width="2.25" style="1083" customWidth="1"/>
    <col min="10765" max="10786" width="2.375" style="1083" customWidth="1"/>
    <col min="10787" max="10787" width="7.375" style="1083" customWidth="1"/>
    <col min="10788" max="10790" width="2.375" style="1083" customWidth="1"/>
    <col min="10791" max="10791" width="4.75" style="1083" customWidth="1"/>
    <col min="10792" max="10792" width="2.375" style="1083" customWidth="1"/>
    <col min="10793" max="10793" width="5.375" style="1083" customWidth="1"/>
    <col min="10794" max="10828" width="2.375" style="1083" customWidth="1"/>
    <col min="10829" max="11008" width="8" style="1083"/>
    <col min="11009" max="11009" width="3.125" style="1083" customWidth="1"/>
    <col min="11010" max="11019" width="2.375" style="1083" customWidth="1"/>
    <col min="11020" max="11020" width="2.25" style="1083" customWidth="1"/>
    <col min="11021" max="11042" width="2.375" style="1083" customWidth="1"/>
    <col min="11043" max="11043" width="7.375" style="1083" customWidth="1"/>
    <col min="11044" max="11046" width="2.375" style="1083" customWidth="1"/>
    <col min="11047" max="11047" width="4.75" style="1083" customWidth="1"/>
    <col min="11048" max="11048" width="2.375" style="1083" customWidth="1"/>
    <col min="11049" max="11049" width="5.375" style="1083" customWidth="1"/>
    <col min="11050" max="11084" width="2.375" style="1083" customWidth="1"/>
    <col min="11085" max="11264" width="8" style="1083"/>
    <col min="11265" max="11265" width="3.125" style="1083" customWidth="1"/>
    <col min="11266" max="11275" width="2.375" style="1083" customWidth="1"/>
    <col min="11276" max="11276" width="2.25" style="1083" customWidth="1"/>
    <col min="11277" max="11298" width="2.375" style="1083" customWidth="1"/>
    <col min="11299" max="11299" width="7.375" style="1083" customWidth="1"/>
    <col min="11300" max="11302" width="2.375" style="1083" customWidth="1"/>
    <col min="11303" max="11303" width="4.75" style="1083" customWidth="1"/>
    <col min="11304" max="11304" width="2.375" style="1083" customWidth="1"/>
    <col min="11305" max="11305" width="5.375" style="1083" customWidth="1"/>
    <col min="11306" max="11340" width="2.375" style="1083" customWidth="1"/>
    <col min="11341" max="11520" width="8" style="1083"/>
    <col min="11521" max="11521" width="3.125" style="1083" customWidth="1"/>
    <col min="11522" max="11531" width="2.375" style="1083" customWidth="1"/>
    <col min="11532" max="11532" width="2.25" style="1083" customWidth="1"/>
    <col min="11533" max="11554" width="2.375" style="1083" customWidth="1"/>
    <col min="11555" max="11555" width="7.375" style="1083" customWidth="1"/>
    <col min="11556" max="11558" width="2.375" style="1083" customWidth="1"/>
    <col min="11559" max="11559" width="4.75" style="1083" customWidth="1"/>
    <col min="11560" max="11560" width="2.375" style="1083" customWidth="1"/>
    <col min="11561" max="11561" width="5.375" style="1083" customWidth="1"/>
    <col min="11562" max="11596" width="2.375" style="1083" customWidth="1"/>
    <col min="11597" max="11776" width="8" style="1083"/>
    <col min="11777" max="11777" width="3.125" style="1083" customWidth="1"/>
    <col min="11778" max="11787" width="2.375" style="1083" customWidth="1"/>
    <col min="11788" max="11788" width="2.25" style="1083" customWidth="1"/>
    <col min="11789" max="11810" width="2.375" style="1083" customWidth="1"/>
    <col min="11811" max="11811" width="7.375" style="1083" customWidth="1"/>
    <col min="11812" max="11814" width="2.375" style="1083" customWidth="1"/>
    <col min="11815" max="11815" width="4.75" style="1083" customWidth="1"/>
    <col min="11816" max="11816" width="2.375" style="1083" customWidth="1"/>
    <col min="11817" max="11817" width="5.375" style="1083" customWidth="1"/>
    <col min="11818" max="11852" width="2.375" style="1083" customWidth="1"/>
    <col min="11853" max="12032" width="8" style="1083"/>
    <col min="12033" max="12033" width="3.125" style="1083" customWidth="1"/>
    <col min="12034" max="12043" width="2.375" style="1083" customWidth="1"/>
    <col min="12044" max="12044" width="2.25" style="1083" customWidth="1"/>
    <col min="12045" max="12066" width="2.375" style="1083" customWidth="1"/>
    <col min="12067" max="12067" width="7.375" style="1083" customWidth="1"/>
    <col min="12068" max="12070" width="2.375" style="1083" customWidth="1"/>
    <col min="12071" max="12071" width="4.75" style="1083" customWidth="1"/>
    <col min="12072" max="12072" width="2.375" style="1083" customWidth="1"/>
    <col min="12073" max="12073" width="5.375" style="1083" customWidth="1"/>
    <col min="12074" max="12108" width="2.375" style="1083" customWidth="1"/>
    <col min="12109" max="12288" width="8" style="1083"/>
    <col min="12289" max="12289" width="3.125" style="1083" customWidth="1"/>
    <col min="12290" max="12299" width="2.375" style="1083" customWidth="1"/>
    <col min="12300" max="12300" width="2.25" style="1083" customWidth="1"/>
    <col min="12301" max="12322" width="2.375" style="1083" customWidth="1"/>
    <col min="12323" max="12323" width="7.375" style="1083" customWidth="1"/>
    <col min="12324" max="12326" width="2.375" style="1083" customWidth="1"/>
    <col min="12327" max="12327" width="4.75" style="1083" customWidth="1"/>
    <col min="12328" max="12328" width="2.375" style="1083" customWidth="1"/>
    <col min="12329" max="12329" width="5.375" style="1083" customWidth="1"/>
    <col min="12330" max="12364" width="2.375" style="1083" customWidth="1"/>
    <col min="12365" max="12544" width="8" style="1083"/>
    <col min="12545" max="12545" width="3.125" style="1083" customWidth="1"/>
    <col min="12546" max="12555" width="2.375" style="1083" customWidth="1"/>
    <col min="12556" max="12556" width="2.25" style="1083" customWidth="1"/>
    <col min="12557" max="12578" width="2.375" style="1083" customWidth="1"/>
    <col min="12579" max="12579" width="7.375" style="1083" customWidth="1"/>
    <col min="12580" max="12582" width="2.375" style="1083" customWidth="1"/>
    <col min="12583" max="12583" width="4.75" style="1083" customWidth="1"/>
    <col min="12584" max="12584" width="2.375" style="1083" customWidth="1"/>
    <col min="12585" max="12585" width="5.375" style="1083" customWidth="1"/>
    <col min="12586" max="12620" width="2.375" style="1083" customWidth="1"/>
    <col min="12621" max="12800" width="8" style="1083"/>
    <col min="12801" max="12801" width="3.125" style="1083" customWidth="1"/>
    <col min="12802" max="12811" width="2.375" style="1083" customWidth="1"/>
    <col min="12812" max="12812" width="2.25" style="1083" customWidth="1"/>
    <col min="12813" max="12834" width="2.375" style="1083" customWidth="1"/>
    <col min="12835" max="12835" width="7.375" style="1083" customWidth="1"/>
    <col min="12836" max="12838" width="2.375" style="1083" customWidth="1"/>
    <col min="12839" max="12839" width="4.75" style="1083" customWidth="1"/>
    <col min="12840" max="12840" width="2.375" style="1083" customWidth="1"/>
    <col min="12841" max="12841" width="5.375" style="1083" customWidth="1"/>
    <col min="12842" max="12876" width="2.375" style="1083" customWidth="1"/>
    <col min="12877" max="13056" width="8" style="1083"/>
    <col min="13057" max="13057" width="3.125" style="1083" customWidth="1"/>
    <col min="13058" max="13067" width="2.375" style="1083" customWidth="1"/>
    <col min="13068" max="13068" width="2.25" style="1083" customWidth="1"/>
    <col min="13069" max="13090" width="2.375" style="1083" customWidth="1"/>
    <col min="13091" max="13091" width="7.375" style="1083" customWidth="1"/>
    <col min="13092" max="13094" width="2.375" style="1083" customWidth="1"/>
    <col min="13095" max="13095" width="4.75" style="1083" customWidth="1"/>
    <col min="13096" max="13096" width="2.375" style="1083" customWidth="1"/>
    <col min="13097" max="13097" width="5.375" style="1083" customWidth="1"/>
    <col min="13098" max="13132" width="2.375" style="1083" customWidth="1"/>
    <col min="13133" max="13312" width="8" style="1083"/>
    <col min="13313" max="13313" width="3.125" style="1083" customWidth="1"/>
    <col min="13314" max="13323" width="2.375" style="1083" customWidth="1"/>
    <col min="13324" max="13324" width="2.25" style="1083" customWidth="1"/>
    <col min="13325" max="13346" width="2.375" style="1083" customWidth="1"/>
    <col min="13347" max="13347" width="7.375" style="1083" customWidth="1"/>
    <col min="13348" max="13350" width="2.375" style="1083" customWidth="1"/>
    <col min="13351" max="13351" width="4.75" style="1083" customWidth="1"/>
    <col min="13352" max="13352" width="2.375" style="1083" customWidth="1"/>
    <col min="13353" max="13353" width="5.375" style="1083" customWidth="1"/>
    <col min="13354" max="13388" width="2.375" style="1083" customWidth="1"/>
    <col min="13389" max="13568" width="8" style="1083"/>
    <col min="13569" max="13569" width="3.125" style="1083" customWidth="1"/>
    <col min="13570" max="13579" width="2.375" style="1083" customWidth="1"/>
    <col min="13580" max="13580" width="2.25" style="1083" customWidth="1"/>
    <col min="13581" max="13602" width="2.375" style="1083" customWidth="1"/>
    <col min="13603" max="13603" width="7.375" style="1083" customWidth="1"/>
    <col min="13604" max="13606" width="2.375" style="1083" customWidth="1"/>
    <col min="13607" max="13607" width="4.75" style="1083" customWidth="1"/>
    <col min="13608" max="13608" width="2.375" style="1083" customWidth="1"/>
    <col min="13609" max="13609" width="5.375" style="1083" customWidth="1"/>
    <col min="13610" max="13644" width="2.375" style="1083" customWidth="1"/>
    <col min="13645" max="13824" width="8" style="1083"/>
    <col min="13825" max="13825" width="3.125" style="1083" customWidth="1"/>
    <col min="13826" max="13835" width="2.375" style="1083" customWidth="1"/>
    <col min="13836" max="13836" width="2.25" style="1083" customWidth="1"/>
    <col min="13837" max="13858" width="2.375" style="1083" customWidth="1"/>
    <col min="13859" max="13859" width="7.375" style="1083" customWidth="1"/>
    <col min="13860" max="13862" width="2.375" style="1083" customWidth="1"/>
    <col min="13863" max="13863" width="4.75" style="1083" customWidth="1"/>
    <col min="13864" max="13864" width="2.375" style="1083" customWidth="1"/>
    <col min="13865" max="13865" width="5.375" style="1083" customWidth="1"/>
    <col min="13866" max="13900" width="2.375" style="1083" customWidth="1"/>
    <col min="13901" max="14080" width="8" style="1083"/>
    <col min="14081" max="14081" width="3.125" style="1083" customWidth="1"/>
    <col min="14082" max="14091" width="2.375" style="1083" customWidth="1"/>
    <col min="14092" max="14092" width="2.25" style="1083" customWidth="1"/>
    <col min="14093" max="14114" width="2.375" style="1083" customWidth="1"/>
    <col min="14115" max="14115" width="7.375" style="1083" customWidth="1"/>
    <col min="14116" max="14118" width="2.375" style="1083" customWidth="1"/>
    <col min="14119" max="14119" width="4.75" style="1083" customWidth="1"/>
    <col min="14120" max="14120" width="2.375" style="1083" customWidth="1"/>
    <col min="14121" max="14121" width="5.375" style="1083" customWidth="1"/>
    <col min="14122" max="14156" width="2.375" style="1083" customWidth="1"/>
    <col min="14157" max="14336" width="8" style="1083"/>
    <col min="14337" max="14337" width="3.125" style="1083" customWidth="1"/>
    <col min="14338" max="14347" width="2.375" style="1083" customWidth="1"/>
    <col min="14348" max="14348" width="2.25" style="1083" customWidth="1"/>
    <col min="14349" max="14370" width="2.375" style="1083" customWidth="1"/>
    <col min="14371" max="14371" width="7.375" style="1083" customWidth="1"/>
    <col min="14372" max="14374" width="2.375" style="1083" customWidth="1"/>
    <col min="14375" max="14375" width="4.75" style="1083" customWidth="1"/>
    <col min="14376" max="14376" width="2.375" style="1083" customWidth="1"/>
    <col min="14377" max="14377" width="5.375" style="1083" customWidth="1"/>
    <col min="14378" max="14412" width="2.375" style="1083" customWidth="1"/>
    <col min="14413" max="14592" width="8" style="1083"/>
    <col min="14593" max="14593" width="3.125" style="1083" customWidth="1"/>
    <col min="14594" max="14603" width="2.375" style="1083" customWidth="1"/>
    <col min="14604" max="14604" width="2.25" style="1083" customWidth="1"/>
    <col min="14605" max="14626" width="2.375" style="1083" customWidth="1"/>
    <col min="14627" max="14627" width="7.375" style="1083" customWidth="1"/>
    <col min="14628" max="14630" width="2.375" style="1083" customWidth="1"/>
    <col min="14631" max="14631" width="4.75" style="1083" customWidth="1"/>
    <col min="14632" max="14632" width="2.375" style="1083" customWidth="1"/>
    <col min="14633" max="14633" width="5.375" style="1083" customWidth="1"/>
    <col min="14634" max="14668" width="2.375" style="1083" customWidth="1"/>
    <col min="14669" max="14848" width="8" style="1083"/>
    <col min="14849" max="14849" width="3.125" style="1083" customWidth="1"/>
    <col min="14850" max="14859" width="2.375" style="1083" customWidth="1"/>
    <col min="14860" max="14860" width="2.25" style="1083" customWidth="1"/>
    <col min="14861" max="14882" width="2.375" style="1083" customWidth="1"/>
    <col min="14883" max="14883" width="7.375" style="1083" customWidth="1"/>
    <col min="14884" max="14886" width="2.375" style="1083" customWidth="1"/>
    <col min="14887" max="14887" width="4.75" style="1083" customWidth="1"/>
    <col min="14888" max="14888" width="2.375" style="1083" customWidth="1"/>
    <col min="14889" max="14889" width="5.375" style="1083" customWidth="1"/>
    <col min="14890" max="14924" width="2.375" style="1083" customWidth="1"/>
    <col min="14925" max="15104" width="8" style="1083"/>
    <col min="15105" max="15105" width="3.125" style="1083" customWidth="1"/>
    <col min="15106" max="15115" width="2.375" style="1083" customWidth="1"/>
    <col min="15116" max="15116" width="2.25" style="1083" customWidth="1"/>
    <col min="15117" max="15138" width="2.375" style="1083" customWidth="1"/>
    <col min="15139" max="15139" width="7.375" style="1083" customWidth="1"/>
    <col min="15140" max="15142" width="2.375" style="1083" customWidth="1"/>
    <col min="15143" max="15143" width="4.75" style="1083" customWidth="1"/>
    <col min="15144" max="15144" width="2.375" style="1083" customWidth="1"/>
    <col min="15145" max="15145" width="5.375" style="1083" customWidth="1"/>
    <col min="15146" max="15180" width="2.375" style="1083" customWidth="1"/>
    <col min="15181" max="15360" width="8" style="1083"/>
    <col min="15361" max="15361" width="3.125" style="1083" customWidth="1"/>
    <col min="15362" max="15371" width="2.375" style="1083" customWidth="1"/>
    <col min="15372" max="15372" width="2.25" style="1083" customWidth="1"/>
    <col min="15373" max="15394" width="2.375" style="1083" customWidth="1"/>
    <col min="15395" max="15395" width="7.375" style="1083" customWidth="1"/>
    <col min="15396" max="15398" width="2.375" style="1083" customWidth="1"/>
    <col min="15399" max="15399" width="4.75" style="1083" customWidth="1"/>
    <col min="15400" max="15400" width="2.375" style="1083" customWidth="1"/>
    <col min="15401" max="15401" width="5.375" style="1083" customWidth="1"/>
    <col min="15402" max="15436" width="2.375" style="1083" customWidth="1"/>
    <col min="15437" max="15616" width="8" style="1083"/>
    <col min="15617" max="15617" width="3.125" style="1083" customWidth="1"/>
    <col min="15618" max="15627" width="2.375" style="1083" customWidth="1"/>
    <col min="15628" max="15628" width="2.25" style="1083" customWidth="1"/>
    <col min="15629" max="15650" width="2.375" style="1083" customWidth="1"/>
    <col min="15651" max="15651" width="7.375" style="1083" customWidth="1"/>
    <col min="15652" max="15654" width="2.375" style="1083" customWidth="1"/>
    <col min="15655" max="15655" width="4.75" style="1083" customWidth="1"/>
    <col min="15656" max="15656" width="2.375" style="1083" customWidth="1"/>
    <col min="15657" max="15657" width="5.375" style="1083" customWidth="1"/>
    <col min="15658" max="15692" width="2.375" style="1083" customWidth="1"/>
    <col min="15693" max="15872" width="8" style="1083"/>
    <col min="15873" max="15873" width="3.125" style="1083" customWidth="1"/>
    <col min="15874" max="15883" width="2.375" style="1083" customWidth="1"/>
    <col min="15884" max="15884" width="2.25" style="1083" customWidth="1"/>
    <col min="15885" max="15906" width="2.375" style="1083" customWidth="1"/>
    <col min="15907" max="15907" width="7.375" style="1083" customWidth="1"/>
    <col min="15908" max="15910" width="2.375" style="1083" customWidth="1"/>
    <col min="15911" max="15911" width="4.75" style="1083" customWidth="1"/>
    <col min="15912" max="15912" width="2.375" style="1083" customWidth="1"/>
    <col min="15913" max="15913" width="5.375" style="1083" customWidth="1"/>
    <col min="15914" max="15948" width="2.375" style="1083" customWidth="1"/>
    <col min="15949" max="16128" width="8" style="1083"/>
    <col min="16129" max="16129" width="3.125" style="1083" customWidth="1"/>
    <col min="16130" max="16139" width="2.375" style="1083" customWidth="1"/>
    <col min="16140" max="16140" width="2.25" style="1083" customWidth="1"/>
    <col min="16141" max="16162" width="2.375" style="1083" customWidth="1"/>
    <col min="16163" max="16163" width="7.375" style="1083" customWidth="1"/>
    <col min="16164" max="16166" width="2.375" style="1083" customWidth="1"/>
    <col min="16167" max="16167" width="4.75" style="1083" customWidth="1"/>
    <col min="16168" max="16168" width="2.375" style="1083" customWidth="1"/>
    <col min="16169" max="16169" width="5.375" style="1083" customWidth="1"/>
    <col min="16170" max="16204" width="2.375" style="1083" customWidth="1"/>
    <col min="16205" max="16384" width="8" style="1083"/>
  </cols>
  <sheetData>
    <row r="1" spans="1:41" ht="14.25" customHeight="1">
      <c r="A1" s="1084" t="s">
        <v>722</v>
      </c>
      <c r="B1" s="1084"/>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row>
    <row r="2" spans="1:41" ht="23.25" customHeight="1">
      <c r="A2" s="1086" t="str">
        <f>"令和 "&amp;AO4&amp;" 年度体制整備単価・加算措置活動報告書"</f>
        <v>令和 6 年度体制整備単価・加算措置活動報告書</v>
      </c>
      <c r="B2" s="1086"/>
      <c r="C2" s="1086"/>
      <c r="D2" s="1086"/>
      <c r="E2" s="1086"/>
      <c r="F2" s="1086"/>
      <c r="G2" s="1086"/>
      <c r="H2" s="1086"/>
      <c r="I2" s="1086"/>
      <c r="J2" s="1086"/>
      <c r="K2" s="1086"/>
      <c r="L2" s="1086"/>
      <c r="M2" s="1086"/>
      <c r="N2" s="1086"/>
      <c r="O2" s="1086"/>
      <c r="P2" s="1086"/>
      <c r="Q2" s="1086"/>
      <c r="R2" s="1086"/>
      <c r="S2" s="1086"/>
      <c r="T2" s="1086"/>
      <c r="U2" s="1086"/>
      <c r="V2" s="1086"/>
      <c r="W2" s="1086"/>
      <c r="X2" s="1086"/>
      <c r="Y2" s="1086"/>
      <c r="Z2" s="1086"/>
      <c r="AA2" s="1086"/>
      <c r="AB2" s="1086"/>
      <c r="AC2" s="1086"/>
      <c r="AD2" s="1086"/>
      <c r="AE2" s="1086"/>
      <c r="AF2" s="1086"/>
      <c r="AG2" s="1086"/>
      <c r="AH2" s="1086"/>
      <c r="AI2" s="1086"/>
      <c r="AJ2" s="1086"/>
      <c r="AK2" s="1086"/>
      <c r="AM2" s="1083" t="s">
        <v>328</v>
      </c>
    </row>
    <row r="3" spans="1:41" ht="5.25" customHeight="1">
      <c r="A3" s="1086"/>
      <c r="B3" s="1086"/>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6"/>
      <c r="AI3" s="1086"/>
      <c r="AJ3" s="1086"/>
      <c r="AK3" s="1086"/>
    </row>
    <row r="4" spans="1:41" ht="23.25" customHeight="1">
      <c r="A4" s="1086"/>
      <c r="B4" s="1086"/>
      <c r="C4" s="1086"/>
      <c r="D4" s="1086"/>
      <c r="E4" s="1086"/>
      <c r="F4" s="1086"/>
      <c r="G4" s="1086"/>
      <c r="H4" s="1086"/>
      <c r="I4" s="1086"/>
      <c r="J4" s="1086"/>
      <c r="K4" s="1086"/>
      <c r="L4" s="1086"/>
      <c r="M4" s="1086"/>
      <c r="N4" s="1086"/>
      <c r="O4" s="1086"/>
      <c r="P4" s="1086"/>
      <c r="Q4" s="1086"/>
      <c r="R4" s="1086"/>
      <c r="S4" s="1086"/>
      <c r="T4" s="1086"/>
      <c r="U4" s="1086"/>
      <c r="V4" s="1086"/>
      <c r="W4" s="1086"/>
      <c r="X4" s="1086"/>
      <c r="Y4" s="1120" t="s">
        <v>724</v>
      </c>
      <c r="Z4" s="1120"/>
      <c r="AA4" s="1120"/>
      <c r="AB4" s="1121" t="str">
        <f>'1.入力表'!M3</f>
        <v>奥安来</v>
      </c>
      <c r="AC4" s="1125"/>
      <c r="AD4" s="1125"/>
      <c r="AE4" s="1125"/>
      <c r="AF4" s="1125"/>
      <c r="AG4" s="1125"/>
      <c r="AH4" s="1125"/>
      <c r="AI4" s="1125"/>
      <c r="AJ4" s="1125"/>
      <c r="AK4" s="1127"/>
      <c r="AM4" s="1083" t="s">
        <v>725</v>
      </c>
      <c r="AN4" s="1083" t="s">
        <v>26</v>
      </c>
      <c r="AO4" s="1128">
        <v>6</v>
      </c>
    </row>
    <row r="5" spans="1:41" ht="22.5" customHeight="1">
      <c r="A5" s="1087" t="s">
        <v>726</v>
      </c>
      <c r="B5" s="1087"/>
      <c r="C5" s="1087"/>
      <c r="D5" s="1087"/>
      <c r="E5" s="1087"/>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1087"/>
      <c r="AF5" s="1087"/>
      <c r="AG5" s="1087"/>
      <c r="AH5" s="1087"/>
      <c r="AI5" s="1087"/>
      <c r="AJ5" s="1087"/>
      <c r="AK5" s="1087"/>
    </row>
    <row r="6" spans="1:41" ht="30.75" customHeight="1">
      <c r="A6" s="1087" t="s">
        <v>324</v>
      </c>
      <c r="B6" s="1087"/>
      <c r="C6" s="1087"/>
      <c r="D6" s="1087"/>
      <c r="E6" s="1087"/>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c r="AJ6" s="1087"/>
      <c r="AK6" s="1087"/>
    </row>
    <row r="7" spans="1:41" ht="17.25" customHeight="1">
      <c r="B7" s="1090" t="s">
        <v>727</v>
      </c>
      <c r="C7" s="1090"/>
      <c r="D7" s="1090"/>
      <c r="E7" s="1090" t="s">
        <v>729</v>
      </c>
      <c r="F7" s="1090"/>
      <c r="G7" s="1090"/>
      <c r="H7" s="1090"/>
      <c r="I7" s="1090"/>
      <c r="J7" s="1090"/>
      <c r="K7" s="1090"/>
      <c r="L7" s="1090"/>
      <c r="M7" s="1090"/>
      <c r="N7" s="1090"/>
      <c r="O7" s="1090"/>
      <c r="P7" s="1090"/>
      <c r="Q7" s="1090"/>
      <c r="R7" s="1090"/>
      <c r="S7" s="1090"/>
      <c r="T7" s="1090"/>
      <c r="U7" s="1090"/>
      <c r="V7" s="1090"/>
      <c r="W7" s="1090"/>
      <c r="X7" s="1090"/>
      <c r="Y7" s="1090"/>
      <c r="Z7" s="1090"/>
      <c r="AA7" s="1090"/>
      <c r="AB7" s="1090" t="s">
        <v>614</v>
      </c>
      <c r="AC7" s="1090"/>
      <c r="AD7" s="1090"/>
      <c r="AE7" s="1090"/>
      <c r="AF7" s="1090"/>
      <c r="AG7" s="1090"/>
      <c r="AH7" s="1090"/>
      <c r="AI7" s="1090"/>
      <c r="AJ7" s="1090"/>
    </row>
    <row r="8" spans="1:41" s="1084" customFormat="1" ht="27.95" customHeight="1">
      <c r="A8" s="1084"/>
      <c r="B8" s="1091"/>
      <c r="C8" s="1091"/>
      <c r="D8" s="1091"/>
      <c r="E8" s="1107" t="s">
        <v>730</v>
      </c>
      <c r="F8" s="1107"/>
      <c r="G8" s="1107"/>
      <c r="H8" s="1107"/>
      <c r="I8" s="1107"/>
      <c r="J8" s="1107"/>
      <c r="K8" s="1107"/>
      <c r="L8" s="1107"/>
      <c r="M8" s="1107"/>
      <c r="N8" s="1107"/>
      <c r="O8" s="1107"/>
      <c r="P8" s="1107"/>
      <c r="Q8" s="1107"/>
      <c r="R8" s="1107"/>
      <c r="S8" s="1107"/>
      <c r="T8" s="1107"/>
      <c r="U8" s="1107"/>
      <c r="V8" s="1107"/>
      <c r="W8" s="1107"/>
      <c r="X8" s="1107"/>
      <c r="Y8" s="1107"/>
      <c r="Z8" s="1107"/>
      <c r="AA8" s="1107"/>
      <c r="AB8" s="1122"/>
      <c r="AC8" s="1122"/>
      <c r="AD8" s="1122"/>
      <c r="AE8" s="1122"/>
      <c r="AF8" s="1122"/>
      <c r="AG8" s="1122"/>
      <c r="AH8" s="1122"/>
      <c r="AI8" s="1122"/>
      <c r="AJ8" s="1122"/>
      <c r="AK8" s="1084"/>
      <c r="AM8" s="1084"/>
      <c r="AN8" s="1084"/>
      <c r="AO8" s="1084"/>
    </row>
    <row r="9" spans="1:41" s="1084" customFormat="1" ht="27.95" customHeight="1">
      <c r="A9" s="1084"/>
      <c r="B9" s="1092"/>
      <c r="C9" s="1092"/>
      <c r="D9" s="1092"/>
      <c r="E9" s="1108" t="s">
        <v>731</v>
      </c>
      <c r="F9" s="1108"/>
      <c r="G9" s="1108"/>
      <c r="H9" s="1108"/>
      <c r="I9" s="1108"/>
      <c r="J9" s="1108"/>
      <c r="K9" s="1108"/>
      <c r="L9" s="1108"/>
      <c r="M9" s="1108"/>
      <c r="N9" s="1108"/>
      <c r="O9" s="1108"/>
      <c r="P9" s="1108"/>
      <c r="Q9" s="1108"/>
      <c r="R9" s="1108"/>
      <c r="S9" s="1108"/>
      <c r="T9" s="1108"/>
      <c r="U9" s="1108"/>
      <c r="V9" s="1108"/>
      <c r="W9" s="1108"/>
      <c r="X9" s="1108"/>
      <c r="Y9" s="1108"/>
      <c r="Z9" s="1108"/>
      <c r="AA9" s="1108"/>
      <c r="AB9" s="1123"/>
      <c r="AC9" s="1123"/>
      <c r="AD9" s="1123"/>
      <c r="AE9" s="1123"/>
      <c r="AF9" s="1123"/>
      <c r="AG9" s="1123"/>
      <c r="AH9" s="1123"/>
      <c r="AI9" s="1123"/>
      <c r="AJ9" s="1123"/>
      <c r="AK9" s="1084"/>
      <c r="AM9" s="1084"/>
      <c r="AN9" s="1084"/>
      <c r="AO9" s="1084"/>
    </row>
    <row r="10" spans="1:41" s="1084" customFormat="1" ht="27.95" customHeight="1">
      <c r="A10" s="1084"/>
      <c r="B10" s="1092"/>
      <c r="C10" s="1092"/>
      <c r="D10" s="1092"/>
      <c r="E10" s="1108" t="s">
        <v>333</v>
      </c>
      <c r="F10" s="1108"/>
      <c r="G10" s="1108"/>
      <c r="H10" s="1108"/>
      <c r="I10" s="1108"/>
      <c r="J10" s="1108"/>
      <c r="K10" s="1108"/>
      <c r="L10" s="1108"/>
      <c r="M10" s="1108"/>
      <c r="N10" s="1108"/>
      <c r="O10" s="1108"/>
      <c r="P10" s="1108"/>
      <c r="Q10" s="1108"/>
      <c r="R10" s="1108"/>
      <c r="S10" s="1108"/>
      <c r="T10" s="1108"/>
      <c r="U10" s="1108"/>
      <c r="V10" s="1108"/>
      <c r="W10" s="1108"/>
      <c r="X10" s="1108"/>
      <c r="Y10" s="1108"/>
      <c r="Z10" s="1108"/>
      <c r="AA10" s="1108"/>
      <c r="AB10" s="1123"/>
      <c r="AC10" s="1123"/>
      <c r="AD10" s="1123"/>
      <c r="AE10" s="1123"/>
      <c r="AF10" s="1123"/>
      <c r="AG10" s="1123"/>
      <c r="AH10" s="1123"/>
      <c r="AI10" s="1123"/>
      <c r="AJ10" s="1123"/>
      <c r="AK10" s="1084"/>
      <c r="AM10" s="1084"/>
      <c r="AN10" s="1084"/>
      <c r="AO10" s="1084"/>
    </row>
    <row r="11" spans="1:41" s="1084" customFormat="1" ht="27.95" customHeight="1">
      <c r="A11" s="1084"/>
      <c r="B11" s="1093"/>
      <c r="C11" s="1093"/>
      <c r="D11" s="1093"/>
      <c r="E11" s="1109" t="s">
        <v>553</v>
      </c>
      <c r="F11" s="1110"/>
      <c r="G11" s="1110"/>
      <c r="H11" s="1110"/>
      <c r="I11" s="1110"/>
      <c r="J11" s="1110"/>
      <c r="K11" s="1110"/>
      <c r="L11" s="1110"/>
      <c r="M11" s="1110"/>
      <c r="N11" s="1110"/>
      <c r="O11" s="1110"/>
      <c r="P11" s="1110"/>
      <c r="Q11" s="1110"/>
      <c r="R11" s="1110"/>
      <c r="S11" s="1110"/>
      <c r="T11" s="1110"/>
      <c r="U11" s="1110"/>
      <c r="V11" s="1110"/>
      <c r="W11" s="1110"/>
      <c r="X11" s="1110"/>
      <c r="Y11" s="1110"/>
      <c r="Z11" s="1110"/>
      <c r="AA11" s="1110"/>
      <c r="AB11" s="1124"/>
      <c r="AC11" s="1124"/>
      <c r="AD11" s="1124"/>
      <c r="AE11" s="1124"/>
      <c r="AF11" s="1124"/>
      <c r="AG11" s="1124"/>
      <c r="AH11" s="1124"/>
      <c r="AI11" s="1124"/>
      <c r="AJ11" s="1124"/>
      <c r="AK11" s="1084"/>
      <c r="AM11" s="1084"/>
      <c r="AN11" s="1084"/>
      <c r="AO11" s="1084"/>
    </row>
    <row r="12" spans="1:41" ht="25.5" customHeight="1">
      <c r="B12" s="1090" t="s">
        <v>732</v>
      </c>
      <c r="C12" s="1090"/>
      <c r="D12" s="1090"/>
      <c r="E12" s="1090"/>
      <c r="F12" s="1090" t="s">
        <v>733</v>
      </c>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c r="AH12" s="1090"/>
      <c r="AI12" s="1090"/>
      <c r="AJ12" s="1090"/>
    </row>
    <row r="13" spans="1:41" ht="45" customHeight="1">
      <c r="B13" s="1094"/>
      <c r="C13" s="1094"/>
      <c r="D13" s="1094"/>
      <c r="E13" s="1094"/>
      <c r="F13" s="1094"/>
      <c r="G13" s="1094"/>
      <c r="H13" s="1094"/>
      <c r="I13" s="1094"/>
      <c r="J13" s="1094"/>
      <c r="K13" s="1094"/>
      <c r="L13" s="1094"/>
      <c r="M13" s="1094"/>
      <c r="N13" s="1094"/>
      <c r="O13" s="1094"/>
      <c r="P13" s="1094"/>
      <c r="Q13" s="1094"/>
      <c r="R13" s="1094"/>
      <c r="S13" s="1094"/>
      <c r="T13" s="1094"/>
      <c r="U13" s="1094"/>
      <c r="V13" s="1094"/>
      <c r="W13" s="1094"/>
      <c r="X13" s="1094"/>
      <c r="Y13" s="1094"/>
      <c r="Z13" s="1094"/>
      <c r="AA13" s="1094"/>
      <c r="AB13" s="1094"/>
      <c r="AC13" s="1094"/>
      <c r="AD13" s="1094"/>
      <c r="AE13" s="1094"/>
      <c r="AF13" s="1094"/>
      <c r="AG13" s="1094"/>
      <c r="AH13" s="1094"/>
      <c r="AI13" s="1094"/>
      <c r="AJ13" s="1094"/>
    </row>
    <row r="14" spans="1:41" ht="45" customHeight="1">
      <c r="B14" s="1095"/>
      <c r="C14" s="1095"/>
      <c r="D14" s="1095"/>
      <c r="E14" s="1095"/>
      <c r="F14" s="1095"/>
      <c r="G14" s="1095"/>
      <c r="H14" s="1095"/>
      <c r="I14" s="1095"/>
      <c r="J14" s="1095"/>
      <c r="K14" s="1095"/>
      <c r="L14" s="1095"/>
      <c r="M14" s="1095"/>
      <c r="N14" s="1095"/>
      <c r="O14" s="1095"/>
      <c r="P14" s="1095"/>
      <c r="Q14" s="1095"/>
      <c r="R14" s="1095"/>
      <c r="S14" s="1095"/>
      <c r="T14" s="1095"/>
      <c r="U14" s="1095"/>
      <c r="V14" s="1095"/>
      <c r="W14" s="1095"/>
      <c r="X14" s="1095"/>
      <c r="Y14" s="1095"/>
      <c r="Z14" s="1095"/>
      <c r="AA14" s="1095"/>
      <c r="AB14" s="1095"/>
      <c r="AC14" s="1095"/>
      <c r="AD14" s="1095"/>
      <c r="AE14" s="1095"/>
      <c r="AF14" s="1095"/>
      <c r="AG14" s="1095"/>
      <c r="AH14" s="1095"/>
      <c r="AI14" s="1095"/>
      <c r="AJ14" s="1095"/>
    </row>
    <row r="15" spans="1:41" ht="45" customHeight="1">
      <c r="B15" s="1096"/>
      <c r="C15" s="1096"/>
      <c r="D15" s="1096"/>
      <c r="E15" s="1096"/>
      <c r="F15" s="1096"/>
      <c r="G15" s="1096"/>
      <c r="H15" s="1096"/>
      <c r="I15" s="1096"/>
      <c r="J15" s="1096"/>
      <c r="K15" s="1096"/>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c r="AG15" s="1096"/>
      <c r="AH15" s="1096"/>
      <c r="AI15" s="1096"/>
      <c r="AJ15" s="1096"/>
    </row>
    <row r="16" spans="1:41" ht="16.5" customHeight="1">
      <c r="B16" s="1097" t="s">
        <v>734</v>
      </c>
      <c r="C16" s="1097"/>
      <c r="D16" s="1097"/>
      <c r="E16" s="1097"/>
      <c r="F16" s="1097"/>
      <c r="G16" s="1097"/>
      <c r="H16" s="1097"/>
      <c r="I16" s="1097"/>
      <c r="J16" s="1097"/>
      <c r="K16" s="1097"/>
      <c r="L16" s="1097"/>
      <c r="M16" s="1097"/>
      <c r="N16" s="1097"/>
      <c r="O16" s="1097"/>
      <c r="P16" s="1097"/>
      <c r="Q16" s="1097"/>
      <c r="R16" s="1097"/>
      <c r="S16" s="1097"/>
      <c r="T16" s="1097"/>
      <c r="U16" s="1097"/>
      <c r="V16" s="1097"/>
      <c r="W16" s="1097"/>
      <c r="X16" s="1097"/>
      <c r="Y16" s="1097"/>
      <c r="Z16" s="1097"/>
      <c r="AA16" s="1097"/>
      <c r="AB16" s="1097"/>
      <c r="AC16" s="1097"/>
      <c r="AD16" s="1097"/>
      <c r="AE16" s="1097"/>
      <c r="AF16" s="1097"/>
      <c r="AG16" s="1097"/>
      <c r="AH16" s="1097"/>
      <c r="AI16" s="1097"/>
      <c r="AJ16" s="1097"/>
    </row>
    <row r="17" spans="1:37" ht="8.25" customHeight="1"/>
    <row r="18" spans="1:37" s="1085" customFormat="1" ht="18.75" customHeight="1">
      <c r="A18" s="1088" t="s">
        <v>735</v>
      </c>
      <c r="B18" s="1088"/>
      <c r="C18" s="1088"/>
      <c r="D18" s="1088"/>
      <c r="E18" s="1088"/>
      <c r="F18" s="1088"/>
      <c r="G18" s="1088"/>
      <c r="H18" s="1088"/>
      <c r="I18" s="1088"/>
      <c r="J18" s="1088"/>
      <c r="K18" s="1088"/>
      <c r="L18" s="1088"/>
      <c r="M18" s="1088"/>
      <c r="N18" s="1088"/>
      <c r="O18" s="1088"/>
      <c r="P18" s="1088"/>
      <c r="Q18" s="1088"/>
      <c r="R18" s="1088"/>
      <c r="S18" s="1088"/>
      <c r="T18" s="1088"/>
      <c r="U18" s="1088"/>
      <c r="V18" s="1088"/>
      <c r="W18" s="1088"/>
      <c r="X18" s="1088"/>
      <c r="Y18" s="1088"/>
      <c r="Z18" s="1088"/>
      <c r="AA18" s="1088"/>
      <c r="AB18" s="1088"/>
      <c r="AC18" s="1088"/>
      <c r="AD18" s="1088"/>
      <c r="AE18" s="1088"/>
      <c r="AF18" s="1088"/>
      <c r="AG18" s="1088"/>
      <c r="AH18" s="1088"/>
      <c r="AI18" s="1088"/>
      <c r="AJ18" s="1088"/>
      <c r="AK18" s="1088"/>
    </row>
    <row r="19" spans="1:37" ht="17.25" customHeight="1">
      <c r="B19" s="1098" t="s">
        <v>736</v>
      </c>
      <c r="C19" s="1105"/>
      <c r="D19" s="1105"/>
      <c r="E19" s="1105"/>
      <c r="F19" s="1105"/>
      <c r="G19" s="1105"/>
      <c r="H19" s="1105"/>
      <c r="I19" s="1105"/>
      <c r="J19" s="1105"/>
      <c r="K19" s="1098" t="s">
        <v>737</v>
      </c>
      <c r="L19" s="1105"/>
      <c r="M19" s="1105"/>
      <c r="N19" s="1105"/>
      <c r="O19" s="1105"/>
      <c r="P19" s="1105"/>
      <c r="Q19" s="1105"/>
      <c r="R19" s="1111"/>
      <c r="S19" s="1098" t="s">
        <v>738</v>
      </c>
      <c r="T19" s="1105"/>
      <c r="U19" s="1105"/>
      <c r="V19" s="1105"/>
      <c r="W19" s="1105"/>
      <c r="X19" s="1105"/>
      <c r="Y19" s="1105"/>
      <c r="Z19" s="1105"/>
      <c r="AA19" s="1105"/>
      <c r="AB19" s="1105"/>
      <c r="AC19" s="1105"/>
      <c r="AD19" s="1105"/>
      <c r="AE19" s="1105"/>
      <c r="AF19" s="1105"/>
      <c r="AG19" s="1105"/>
      <c r="AH19" s="1105"/>
      <c r="AI19" s="1111"/>
    </row>
    <row r="20" spans="1:37" s="1084" customFormat="1" ht="45" customHeight="1">
      <c r="A20" s="1084"/>
      <c r="B20" s="1090"/>
      <c r="C20" s="1090"/>
      <c r="D20" s="1090"/>
      <c r="E20" s="1090"/>
      <c r="F20" s="1090"/>
      <c r="G20" s="1090"/>
      <c r="H20" s="1090"/>
      <c r="I20" s="1090"/>
      <c r="J20" s="1090"/>
      <c r="K20" s="1114"/>
      <c r="L20" s="1116"/>
      <c r="M20" s="1116"/>
      <c r="N20" s="1116"/>
      <c r="O20" s="1116"/>
      <c r="P20" s="1116"/>
      <c r="Q20" s="1116"/>
      <c r="R20" s="1117"/>
      <c r="S20" s="1118"/>
      <c r="T20" s="1119"/>
      <c r="U20" s="1119"/>
      <c r="V20" s="1119"/>
      <c r="W20" s="1119"/>
      <c r="X20" s="1119"/>
      <c r="Y20" s="1119"/>
      <c r="Z20" s="1119"/>
      <c r="AA20" s="1119"/>
      <c r="AB20" s="1119"/>
      <c r="AC20" s="1119"/>
      <c r="AD20" s="1119"/>
      <c r="AE20" s="1119"/>
      <c r="AF20" s="1119"/>
      <c r="AG20" s="1119"/>
      <c r="AH20" s="1119"/>
      <c r="AI20" s="1126"/>
      <c r="AJ20" s="1084"/>
      <c r="AK20" s="1084"/>
    </row>
    <row r="21" spans="1:37" s="1084" customFormat="1" ht="45" customHeight="1">
      <c r="A21" s="1084"/>
      <c r="B21" s="1090"/>
      <c r="C21" s="1090"/>
      <c r="D21" s="1090"/>
      <c r="E21" s="1090"/>
      <c r="F21" s="1090"/>
      <c r="G21" s="1090"/>
      <c r="H21" s="1090"/>
      <c r="I21" s="1090"/>
      <c r="J21" s="1090"/>
      <c r="K21" s="1114"/>
      <c r="L21" s="1116"/>
      <c r="M21" s="1116"/>
      <c r="N21" s="1116"/>
      <c r="O21" s="1116"/>
      <c r="P21" s="1116"/>
      <c r="Q21" s="1116"/>
      <c r="R21" s="1117"/>
      <c r="S21" s="1118"/>
      <c r="T21" s="1119"/>
      <c r="U21" s="1119"/>
      <c r="V21" s="1119"/>
      <c r="W21" s="1119"/>
      <c r="X21" s="1119"/>
      <c r="Y21" s="1119"/>
      <c r="Z21" s="1119"/>
      <c r="AA21" s="1119"/>
      <c r="AB21" s="1119"/>
      <c r="AC21" s="1119"/>
      <c r="AD21" s="1119"/>
      <c r="AE21" s="1119"/>
      <c r="AF21" s="1119"/>
      <c r="AG21" s="1119"/>
      <c r="AH21" s="1119"/>
      <c r="AI21" s="1126"/>
      <c r="AJ21" s="1084"/>
      <c r="AK21" s="1084"/>
    </row>
    <row r="22" spans="1:37" s="1084" customFormat="1" ht="45" customHeight="1">
      <c r="A22" s="1084"/>
      <c r="B22" s="1098"/>
      <c r="C22" s="1105"/>
      <c r="D22" s="1105"/>
      <c r="E22" s="1105"/>
      <c r="F22" s="1105"/>
      <c r="G22" s="1105"/>
      <c r="H22" s="1105"/>
      <c r="I22" s="1105"/>
      <c r="J22" s="1111"/>
      <c r="K22" s="1114"/>
      <c r="L22" s="1116"/>
      <c r="M22" s="1116"/>
      <c r="N22" s="1116"/>
      <c r="O22" s="1116"/>
      <c r="P22" s="1116"/>
      <c r="Q22" s="1116"/>
      <c r="R22" s="1117"/>
      <c r="S22" s="1118"/>
      <c r="T22" s="1119"/>
      <c r="U22" s="1119"/>
      <c r="V22" s="1119"/>
      <c r="W22" s="1119"/>
      <c r="X22" s="1119"/>
      <c r="Y22" s="1119"/>
      <c r="Z22" s="1119"/>
      <c r="AA22" s="1119"/>
      <c r="AB22" s="1119"/>
      <c r="AC22" s="1119"/>
      <c r="AD22" s="1119"/>
      <c r="AE22" s="1119"/>
      <c r="AF22" s="1119"/>
      <c r="AG22" s="1119"/>
      <c r="AH22" s="1119"/>
      <c r="AI22" s="1126"/>
      <c r="AJ22" s="1084"/>
      <c r="AK22" s="1084"/>
    </row>
    <row r="23" spans="1:37" s="1084" customFormat="1" ht="13.5">
      <c r="A23" s="1084"/>
      <c r="B23" s="1099" t="s">
        <v>739</v>
      </c>
      <c r="C23" s="1099"/>
      <c r="D23" s="1099"/>
      <c r="E23" s="1099"/>
      <c r="F23" s="1099"/>
      <c r="G23" s="1099"/>
      <c r="H23" s="1099"/>
      <c r="I23" s="1099"/>
      <c r="J23" s="1099"/>
      <c r="K23" s="1099"/>
      <c r="L23" s="1099"/>
      <c r="M23" s="1099"/>
      <c r="N23" s="1099"/>
      <c r="O23" s="1099"/>
      <c r="P23" s="1099"/>
      <c r="Q23" s="1099"/>
      <c r="R23" s="1099"/>
      <c r="S23" s="1099"/>
      <c r="T23" s="1099"/>
      <c r="U23" s="1099"/>
      <c r="V23" s="1099"/>
      <c r="W23" s="1099"/>
      <c r="X23" s="1099"/>
      <c r="Y23" s="1099"/>
      <c r="Z23" s="1099"/>
      <c r="AA23" s="1099"/>
      <c r="AB23" s="1099"/>
      <c r="AC23" s="1099"/>
      <c r="AD23" s="1099"/>
      <c r="AE23" s="1099"/>
      <c r="AF23" s="1099"/>
      <c r="AG23" s="1099"/>
      <c r="AH23" s="1099"/>
      <c r="AI23" s="1099"/>
      <c r="AJ23" s="1084"/>
      <c r="AK23" s="1084"/>
    </row>
    <row r="24" spans="1:37" ht="13.5">
      <c r="B24" s="1100"/>
      <c r="C24" s="1100"/>
      <c r="D24" s="1100"/>
      <c r="E24" s="1100"/>
      <c r="F24" s="1100"/>
      <c r="G24" s="1100"/>
      <c r="H24" s="1100"/>
      <c r="I24" s="1100"/>
      <c r="J24" s="1112"/>
      <c r="K24" s="1112"/>
      <c r="L24" s="1112"/>
      <c r="M24" s="1112"/>
      <c r="N24" s="1112"/>
      <c r="O24" s="1112"/>
      <c r="P24" s="1112"/>
      <c r="Q24" s="1112"/>
      <c r="R24" s="1112"/>
      <c r="S24" s="1112"/>
      <c r="T24" s="1112"/>
      <c r="U24" s="1112"/>
      <c r="V24" s="1112"/>
      <c r="W24" s="1112"/>
      <c r="X24" s="1112"/>
      <c r="Y24" s="1112"/>
      <c r="Z24" s="1112"/>
      <c r="AA24" s="1112"/>
      <c r="AB24" s="1112"/>
      <c r="AC24" s="1112"/>
      <c r="AD24" s="1112"/>
      <c r="AE24" s="1112"/>
      <c r="AF24" s="1112"/>
      <c r="AG24" s="1112"/>
      <c r="AH24" s="1112"/>
      <c r="AI24" s="1112"/>
    </row>
    <row r="25" spans="1:37" ht="27.75" customHeight="1">
      <c r="A25" s="1089" t="s">
        <v>741</v>
      </c>
      <c r="B25" s="1089"/>
      <c r="C25" s="1089"/>
      <c r="D25" s="1089"/>
      <c r="E25" s="1089"/>
      <c r="F25" s="1089"/>
      <c r="G25" s="1089"/>
      <c r="H25" s="1089"/>
      <c r="I25" s="1089"/>
      <c r="J25" s="1089"/>
      <c r="K25" s="1089"/>
      <c r="L25" s="1089"/>
      <c r="M25" s="1089"/>
      <c r="N25" s="1089"/>
      <c r="O25" s="1089"/>
      <c r="P25" s="1089"/>
      <c r="Q25" s="1089"/>
      <c r="R25" s="1089"/>
      <c r="S25" s="1089"/>
      <c r="T25" s="1089"/>
      <c r="U25" s="1089"/>
      <c r="V25" s="1089"/>
      <c r="W25" s="1089"/>
      <c r="X25" s="1089"/>
      <c r="Y25" s="1089"/>
      <c r="Z25" s="1089"/>
      <c r="AA25" s="1089"/>
      <c r="AB25" s="1089"/>
      <c r="AC25" s="1089"/>
      <c r="AD25" s="1089"/>
      <c r="AE25" s="1089"/>
      <c r="AF25" s="1089"/>
      <c r="AG25" s="1089"/>
      <c r="AH25" s="1089"/>
      <c r="AI25" s="1089"/>
      <c r="AJ25" s="1089"/>
      <c r="AK25" s="1089"/>
    </row>
    <row r="26" spans="1:37" ht="13.5">
      <c r="A26" s="1089"/>
      <c r="B26" s="1089" t="s">
        <v>517</v>
      </c>
      <c r="C26" s="1089"/>
      <c r="D26" s="1089"/>
      <c r="E26" s="1089"/>
      <c r="F26" s="1089"/>
      <c r="G26" s="1089"/>
      <c r="H26" s="1089"/>
      <c r="I26" s="1089"/>
      <c r="J26" s="1089"/>
      <c r="K26" s="1089"/>
      <c r="L26" s="1089"/>
      <c r="M26" s="1089"/>
      <c r="N26" s="1089"/>
      <c r="O26" s="1089"/>
      <c r="P26" s="1089"/>
      <c r="Q26" s="1089"/>
      <c r="R26" s="1089"/>
      <c r="S26" s="1089"/>
      <c r="T26" s="1089"/>
      <c r="U26" s="1089"/>
      <c r="V26" s="1089"/>
      <c r="W26" s="1089"/>
      <c r="X26" s="1089"/>
      <c r="Y26" s="1089"/>
      <c r="Z26" s="1089"/>
      <c r="AA26" s="1089"/>
      <c r="AB26" s="1089"/>
      <c r="AC26" s="1089"/>
      <c r="AD26" s="1089"/>
      <c r="AE26" s="1089"/>
      <c r="AF26" s="1089"/>
      <c r="AG26" s="1089"/>
      <c r="AH26" s="1089"/>
      <c r="AI26" s="1089"/>
      <c r="AJ26" s="1089"/>
      <c r="AK26" s="1089"/>
    </row>
    <row r="27" spans="1:37" ht="17.25" customHeight="1">
      <c r="B27" s="1098" t="s">
        <v>663</v>
      </c>
      <c r="C27" s="1105"/>
      <c r="D27" s="1105"/>
      <c r="E27" s="1105"/>
      <c r="F27" s="1105"/>
      <c r="G27" s="1105"/>
      <c r="H27" s="1105"/>
      <c r="I27" s="1105"/>
      <c r="J27" s="1105"/>
      <c r="K27" s="1115" t="s">
        <v>742</v>
      </c>
      <c r="L27" s="1115"/>
      <c r="M27" s="1115"/>
      <c r="N27" s="1115"/>
      <c r="O27" s="1115"/>
      <c r="P27" s="1115"/>
      <c r="Q27" s="1115"/>
      <c r="R27" s="1115"/>
      <c r="S27" s="1115"/>
      <c r="T27" s="1115"/>
      <c r="U27" s="1115"/>
      <c r="V27" s="1115"/>
      <c r="W27" s="1115" t="s">
        <v>604</v>
      </c>
      <c r="X27" s="1115"/>
      <c r="Y27" s="1115"/>
      <c r="Z27" s="1115"/>
      <c r="AA27" s="1115"/>
      <c r="AB27" s="1115"/>
      <c r="AC27" s="1115"/>
      <c r="AD27" s="1115"/>
      <c r="AE27" s="1115"/>
      <c r="AF27" s="1115"/>
      <c r="AG27" s="1115"/>
      <c r="AH27" s="1115"/>
      <c r="AI27" s="1115"/>
    </row>
    <row r="28" spans="1:37" s="1084" customFormat="1" ht="80.099999999999994" customHeight="1">
      <c r="A28" s="1084"/>
      <c r="B28" s="1101" t="s">
        <v>62</v>
      </c>
      <c r="C28" s="1101"/>
      <c r="D28" s="1101"/>
      <c r="E28" s="1101"/>
      <c r="F28" s="1101"/>
      <c r="G28" s="1101"/>
      <c r="H28" s="1101"/>
      <c r="I28" s="1101"/>
      <c r="J28" s="1101"/>
      <c r="K28" s="1090"/>
      <c r="L28" s="1090"/>
      <c r="M28" s="1090"/>
      <c r="N28" s="1090"/>
      <c r="O28" s="1090"/>
      <c r="P28" s="1090"/>
      <c r="Q28" s="1090"/>
      <c r="R28" s="1090"/>
      <c r="S28" s="1090"/>
      <c r="T28" s="1090"/>
      <c r="U28" s="1090"/>
      <c r="V28" s="1090"/>
      <c r="W28" s="1090"/>
      <c r="X28" s="1090"/>
      <c r="Y28" s="1090"/>
      <c r="Z28" s="1090"/>
      <c r="AA28" s="1090"/>
      <c r="AB28" s="1090"/>
      <c r="AC28" s="1090"/>
      <c r="AD28" s="1090"/>
      <c r="AE28" s="1090"/>
      <c r="AF28" s="1090"/>
      <c r="AG28" s="1090"/>
      <c r="AH28" s="1090"/>
      <c r="AI28" s="1090"/>
      <c r="AJ28" s="1084"/>
      <c r="AK28" s="1084"/>
    </row>
    <row r="29" spans="1:37" s="1084" customFormat="1" ht="80.099999999999994" customHeight="1">
      <c r="A29" s="1084"/>
      <c r="B29" s="1102" t="s">
        <v>131</v>
      </c>
      <c r="C29" s="1106"/>
      <c r="D29" s="1106"/>
      <c r="E29" s="1106"/>
      <c r="F29" s="1106"/>
      <c r="G29" s="1106"/>
      <c r="H29" s="1106"/>
      <c r="I29" s="1106"/>
      <c r="J29" s="1113"/>
      <c r="K29" s="1114"/>
      <c r="L29" s="1116"/>
      <c r="M29" s="1116"/>
      <c r="N29" s="1116"/>
      <c r="O29" s="1116"/>
      <c r="P29" s="1116"/>
      <c r="Q29" s="1116"/>
      <c r="R29" s="1116"/>
      <c r="S29" s="1116"/>
      <c r="T29" s="1116"/>
      <c r="U29" s="1116"/>
      <c r="V29" s="1117"/>
      <c r="W29" s="1114"/>
      <c r="X29" s="1116"/>
      <c r="Y29" s="1116"/>
      <c r="Z29" s="1116"/>
      <c r="AA29" s="1116"/>
      <c r="AB29" s="1116"/>
      <c r="AC29" s="1116"/>
      <c r="AD29" s="1116"/>
      <c r="AE29" s="1116"/>
      <c r="AF29" s="1116"/>
      <c r="AG29" s="1116"/>
      <c r="AH29" s="1116"/>
      <c r="AI29" s="1117"/>
      <c r="AJ29" s="1084"/>
      <c r="AK29" s="1084"/>
    </row>
    <row r="30" spans="1:37" ht="13.5">
      <c r="B30" s="1099" t="s">
        <v>743</v>
      </c>
      <c r="C30" s="1099"/>
      <c r="D30" s="1099"/>
      <c r="E30" s="1099"/>
      <c r="F30" s="1099"/>
      <c r="G30" s="1099"/>
      <c r="H30" s="1099"/>
      <c r="I30" s="1099"/>
      <c r="J30" s="1099"/>
      <c r="K30" s="1099"/>
      <c r="L30" s="1099"/>
      <c r="M30" s="1099"/>
      <c r="N30" s="1099"/>
      <c r="O30" s="1099"/>
      <c r="P30" s="1099"/>
      <c r="Q30" s="1099"/>
      <c r="R30" s="1099"/>
      <c r="S30" s="1099"/>
      <c r="T30" s="1099"/>
      <c r="U30" s="1099"/>
      <c r="V30" s="1099"/>
      <c r="W30" s="1099"/>
      <c r="X30" s="1099"/>
      <c r="Y30" s="1099"/>
      <c r="Z30" s="1099"/>
      <c r="AA30" s="1099"/>
      <c r="AB30" s="1099"/>
      <c r="AC30" s="1099"/>
      <c r="AD30" s="1099"/>
      <c r="AE30" s="1099"/>
      <c r="AF30" s="1099"/>
      <c r="AG30" s="1099"/>
      <c r="AH30" s="1099"/>
      <c r="AI30" s="1099"/>
    </row>
    <row r="31" spans="1:37">
      <c r="B31" s="1103"/>
      <c r="C31" s="1103"/>
      <c r="D31" s="1103"/>
      <c r="E31" s="1103"/>
      <c r="F31" s="1103"/>
      <c r="G31" s="1103"/>
      <c r="H31" s="1103"/>
      <c r="I31" s="1103"/>
      <c r="J31" s="1103"/>
      <c r="K31" s="1103"/>
      <c r="L31" s="1103"/>
      <c r="M31" s="1103"/>
      <c r="N31" s="1103"/>
      <c r="O31" s="1103"/>
      <c r="P31" s="1103"/>
      <c r="Q31" s="1103"/>
      <c r="R31" s="1103"/>
      <c r="S31" s="1103"/>
      <c r="T31" s="1103"/>
      <c r="U31" s="1103"/>
      <c r="V31" s="1103"/>
      <c r="W31" s="1103"/>
      <c r="X31" s="1103"/>
      <c r="Y31" s="1103"/>
      <c r="Z31" s="1103"/>
      <c r="AA31" s="1103"/>
      <c r="AB31" s="1103"/>
      <c r="AC31" s="1103"/>
      <c r="AD31" s="1103"/>
      <c r="AE31" s="1103"/>
      <c r="AF31" s="1103"/>
      <c r="AG31" s="1103"/>
      <c r="AH31" s="1103"/>
      <c r="AI31" s="1103"/>
    </row>
    <row r="32" spans="1:37" ht="13.5">
      <c r="A32" s="1089"/>
      <c r="B32" s="1089" t="s">
        <v>745</v>
      </c>
      <c r="C32" s="1089"/>
      <c r="D32" s="1089"/>
      <c r="E32" s="1089"/>
      <c r="F32" s="1089"/>
      <c r="G32" s="1089"/>
      <c r="H32" s="1089"/>
      <c r="I32" s="1089"/>
      <c r="J32" s="1089"/>
      <c r="K32" s="1089"/>
      <c r="L32" s="1089"/>
      <c r="M32" s="1089"/>
      <c r="N32" s="1089"/>
      <c r="O32" s="1089"/>
      <c r="P32" s="1089"/>
      <c r="Q32" s="1089"/>
      <c r="R32" s="1089"/>
      <c r="S32" s="1089"/>
      <c r="T32" s="1089"/>
      <c r="U32" s="1089"/>
      <c r="V32" s="1089"/>
      <c r="W32" s="1089"/>
      <c r="X32" s="1089"/>
      <c r="Y32" s="1089"/>
      <c r="Z32" s="1089"/>
      <c r="AA32" s="1089"/>
      <c r="AB32" s="1089"/>
      <c r="AC32" s="1089"/>
      <c r="AD32" s="1089"/>
      <c r="AE32" s="1089"/>
      <c r="AF32" s="1089"/>
      <c r="AG32" s="1089"/>
      <c r="AH32" s="1089"/>
      <c r="AI32" s="1089"/>
      <c r="AJ32" s="1089"/>
      <c r="AK32" s="1089"/>
    </row>
    <row r="33" spans="1:37" ht="17.25" customHeight="1">
      <c r="B33" s="1098" t="s">
        <v>663</v>
      </c>
      <c r="C33" s="1105"/>
      <c r="D33" s="1105"/>
      <c r="E33" s="1105"/>
      <c r="F33" s="1105"/>
      <c r="G33" s="1105"/>
      <c r="H33" s="1105"/>
      <c r="I33" s="1105"/>
      <c r="J33" s="1105"/>
      <c r="K33" s="1115" t="s">
        <v>742</v>
      </c>
      <c r="L33" s="1115"/>
      <c r="M33" s="1115"/>
      <c r="N33" s="1115"/>
      <c r="O33" s="1115"/>
      <c r="P33" s="1115"/>
      <c r="Q33" s="1115"/>
      <c r="R33" s="1115"/>
      <c r="S33" s="1115"/>
      <c r="T33" s="1115"/>
      <c r="U33" s="1115"/>
      <c r="V33" s="1115"/>
      <c r="W33" s="1115" t="s">
        <v>604</v>
      </c>
      <c r="X33" s="1115"/>
      <c r="Y33" s="1115"/>
      <c r="Z33" s="1115"/>
      <c r="AA33" s="1115"/>
      <c r="AB33" s="1115"/>
      <c r="AC33" s="1115"/>
      <c r="AD33" s="1115"/>
      <c r="AE33" s="1115"/>
      <c r="AF33" s="1115"/>
      <c r="AG33" s="1115"/>
      <c r="AH33" s="1115"/>
      <c r="AI33" s="1115"/>
    </row>
    <row r="34" spans="1:37" s="1084" customFormat="1" ht="80.099999999999994" customHeight="1">
      <c r="A34" s="1084"/>
      <c r="B34" s="1104" t="s">
        <v>238</v>
      </c>
      <c r="C34" s="1104"/>
      <c r="D34" s="1104"/>
      <c r="E34" s="1104"/>
      <c r="F34" s="1104"/>
      <c r="G34" s="1104"/>
      <c r="H34" s="1104"/>
      <c r="I34" s="1104"/>
      <c r="J34" s="1104"/>
      <c r="K34" s="1090"/>
      <c r="L34" s="1090"/>
      <c r="M34" s="1090"/>
      <c r="N34" s="1090"/>
      <c r="O34" s="1090"/>
      <c r="P34" s="1090"/>
      <c r="Q34" s="1090"/>
      <c r="R34" s="1090"/>
      <c r="S34" s="1090"/>
      <c r="T34" s="1090"/>
      <c r="U34" s="1090"/>
      <c r="V34" s="1090"/>
      <c r="W34" s="1090"/>
      <c r="X34" s="1090"/>
      <c r="Y34" s="1090"/>
      <c r="Z34" s="1090"/>
      <c r="AA34" s="1090"/>
      <c r="AB34" s="1090"/>
      <c r="AC34" s="1090"/>
      <c r="AD34" s="1090"/>
      <c r="AE34" s="1090"/>
      <c r="AF34" s="1090"/>
      <c r="AG34" s="1090"/>
      <c r="AH34" s="1090"/>
      <c r="AI34" s="1090"/>
      <c r="AJ34" s="1084"/>
      <c r="AK34" s="1084"/>
    </row>
    <row r="35" spans="1:37" s="1084" customFormat="1" ht="80.099999999999994" customHeight="1">
      <c r="A35" s="1084"/>
      <c r="B35" s="1102" t="s">
        <v>747</v>
      </c>
      <c r="C35" s="1106"/>
      <c r="D35" s="1106"/>
      <c r="E35" s="1106"/>
      <c r="F35" s="1106"/>
      <c r="G35" s="1106"/>
      <c r="H35" s="1106"/>
      <c r="I35" s="1106"/>
      <c r="J35" s="1113"/>
      <c r="K35" s="1114"/>
      <c r="L35" s="1116"/>
      <c r="M35" s="1116"/>
      <c r="N35" s="1116"/>
      <c r="O35" s="1116"/>
      <c r="P35" s="1116"/>
      <c r="Q35" s="1116"/>
      <c r="R35" s="1116"/>
      <c r="S35" s="1116"/>
      <c r="T35" s="1116"/>
      <c r="U35" s="1116"/>
      <c r="V35" s="1117"/>
      <c r="W35" s="1114"/>
      <c r="X35" s="1116"/>
      <c r="Y35" s="1116"/>
      <c r="Z35" s="1116"/>
      <c r="AA35" s="1116"/>
      <c r="AB35" s="1116"/>
      <c r="AC35" s="1116"/>
      <c r="AD35" s="1116"/>
      <c r="AE35" s="1116"/>
      <c r="AF35" s="1116"/>
      <c r="AG35" s="1116"/>
      <c r="AH35" s="1116"/>
      <c r="AI35" s="1117"/>
      <c r="AJ35" s="1084"/>
      <c r="AK35" s="1084"/>
    </row>
    <row r="36" spans="1:37" ht="13.5">
      <c r="B36" s="1099" t="s">
        <v>734</v>
      </c>
      <c r="C36" s="1099"/>
      <c r="D36" s="1099"/>
      <c r="E36" s="1099"/>
      <c r="F36" s="1099"/>
      <c r="G36" s="1099"/>
      <c r="H36" s="1099"/>
      <c r="I36" s="1099"/>
      <c r="J36" s="1099"/>
      <c r="K36" s="1099"/>
      <c r="L36" s="1099"/>
      <c r="M36" s="1099"/>
      <c r="N36" s="1099"/>
      <c r="O36" s="1099"/>
      <c r="P36" s="1099"/>
      <c r="Q36" s="1099"/>
      <c r="R36" s="1099"/>
      <c r="S36" s="1099"/>
      <c r="T36" s="1099"/>
      <c r="U36" s="1099"/>
      <c r="V36" s="1099"/>
      <c r="W36" s="1099"/>
      <c r="X36" s="1099"/>
      <c r="Y36" s="1099"/>
      <c r="Z36" s="1099"/>
      <c r="AA36" s="1099"/>
      <c r="AB36" s="1099"/>
      <c r="AC36" s="1099"/>
      <c r="AD36" s="1099"/>
      <c r="AE36" s="1099"/>
      <c r="AF36" s="1099"/>
      <c r="AG36" s="1099"/>
      <c r="AH36" s="1099"/>
      <c r="AI36" s="1099"/>
    </row>
    <row r="37" spans="1:37">
      <c r="B37" s="1103"/>
      <c r="C37" s="1103"/>
      <c r="D37" s="1103"/>
      <c r="E37" s="1103"/>
      <c r="F37" s="1103"/>
      <c r="G37" s="1103"/>
      <c r="H37" s="1103"/>
      <c r="I37" s="1103"/>
      <c r="J37" s="1103"/>
      <c r="K37" s="1103"/>
      <c r="L37" s="1103"/>
      <c r="M37" s="1103"/>
      <c r="N37" s="1103"/>
      <c r="O37" s="1103"/>
      <c r="P37" s="1103"/>
      <c r="Q37" s="1103"/>
      <c r="R37" s="1103"/>
      <c r="S37" s="1103"/>
      <c r="T37" s="1103"/>
      <c r="U37" s="1103"/>
      <c r="V37" s="1103"/>
      <c r="W37" s="1103"/>
      <c r="X37" s="1103"/>
      <c r="Y37" s="1103"/>
      <c r="Z37" s="1103"/>
      <c r="AA37" s="1103"/>
      <c r="AB37" s="1103"/>
      <c r="AC37" s="1103"/>
      <c r="AD37" s="1103"/>
      <c r="AE37" s="1103"/>
      <c r="AF37" s="1103"/>
      <c r="AG37" s="1103"/>
      <c r="AH37" s="1103"/>
      <c r="AI37" s="1103"/>
    </row>
    <row r="38" spans="1:37" ht="13.5">
      <c r="A38" s="1089"/>
      <c r="B38" s="1089" t="s">
        <v>749</v>
      </c>
      <c r="C38" s="1089"/>
      <c r="D38" s="1089"/>
      <c r="E38" s="1089"/>
      <c r="F38" s="1089"/>
      <c r="G38" s="1089"/>
      <c r="H38" s="1089"/>
      <c r="I38" s="1089"/>
      <c r="J38" s="1089"/>
      <c r="K38" s="1089"/>
      <c r="L38" s="1089"/>
      <c r="M38" s="1089"/>
      <c r="N38" s="1089"/>
      <c r="O38" s="1089"/>
      <c r="P38" s="1089"/>
      <c r="Q38" s="1089"/>
      <c r="R38" s="1089"/>
      <c r="S38" s="1089"/>
      <c r="T38" s="1089"/>
      <c r="U38" s="1089"/>
      <c r="V38" s="1089"/>
      <c r="W38" s="1089"/>
      <c r="X38" s="1089"/>
      <c r="Y38" s="1089"/>
      <c r="Z38" s="1089"/>
      <c r="AA38" s="1089"/>
      <c r="AB38" s="1089"/>
      <c r="AC38" s="1089"/>
      <c r="AD38" s="1089"/>
      <c r="AE38" s="1089"/>
      <c r="AF38" s="1089"/>
      <c r="AG38" s="1089"/>
      <c r="AH38" s="1089"/>
      <c r="AI38" s="1089"/>
      <c r="AJ38" s="1089"/>
      <c r="AK38" s="1089"/>
    </row>
    <row r="39" spans="1:37" ht="17.25" customHeight="1">
      <c r="B39" s="1098" t="s">
        <v>663</v>
      </c>
      <c r="C39" s="1105"/>
      <c r="D39" s="1105"/>
      <c r="E39" s="1105"/>
      <c r="F39" s="1105"/>
      <c r="G39" s="1105"/>
      <c r="H39" s="1105"/>
      <c r="I39" s="1105"/>
      <c r="J39" s="1105"/>
      <c r="K39" s="1115" t="s">
        <v>742</v>
      </c>
      <c r="L39" s="1115"/>
      <c r="M39" s="1115"/>
      <c r="N39" s="1115"/>
      <c r="O39" s="1115"/>
      <c r="P39" s="1115"/>
      <c r="Q39" s="1115"/>
      <c r="R39" s="1115"/>
      <c r="S39" s="1115"/>
      <c r="T39" s="1115"/>
      <c r="U39" s="1115"/>
      <c r="V39" s="1115"/>
      <c r="W39" s="1115" t="s">
        <v>604</v>
      </c>
      <c r="X39" s="1115"/>
      <c r="Y39" s="1115"/>
      <c r="Z39" s="1115"/>
      <c r="AA39" s="1115"/>
      <c r="AB39" s="1115"/>
      <c r="AC39" s="1115"/>
      <c r="AD39" s="1115"/>
      <c r="AE39" s="1115"/>
      <c r="AF39" s="1115"/>
      <c r="AG39" s="1115"/>
      <c r="AH39" s="1115"/>
      <c r="AI39" s="1115"/>
    </row>
    <row r="40" spans="1:37" s="1084" customFormat="1" ht="80.099999999999994" customHeight="1">
      <c r="A40" s="1084"/>
      <c r="B40" s="1104" t="s">
        <v>238</v>
      </c>
      <c r="C40" s="1104"/>
      <c r="D40" s="1104"/>
      <c r="E40" s="1104"/>
      <c r="F40" s="1104"/>
      <c r="G40" s="1104"/>
      <c r="H40" s="1104"/>
      <c r="I40" s="1104"/>
      <c r="J40" s="1104"/>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84"/>
      <c r="AK40" s="1084"/>
    </row>
    <row r="41" spans="1:37" s="1084" customFormat="1" ht="80.099999999999994" customHeight="1">
      <c r="A41" s="1084"/>
      <c r="B41" s="1102" t="s">
        <v>750</v>
      </c>
      <c r="C41" s="1106"/>
      <c r="D41" s="1106"/>
      <c r="E41" s="1106"/>
      <c r="F41" s="1106"/>
      <c r="G41" s="1106"/>
      <c r="H41" s="1106"/>
      <c r="I41" s="1106"/>
      <c r="J41" s="1113"/>
      <c r="K41" s="1114"/>
      <c r="L41" s="1116"/>
      <c r="M41" s="1116"/>
      <c r="N41" s="1116"/>
      <c r="O41" s="1116"/>
      <c r="P41" s="1116"/>
      <c r="Q41" s="1116"/>
      <c r="R41" s="1116"/>
      <c r="S41" s="1116"/>
      <c r="T41" s="1116"/>
      <c r="U41" s="1116"/>
      <c r="V41" s="1117"/>
      <c r="W41" s="1114"/>
      <c r="X41" s="1116"/>
      <c r="Y41" s="1116"/>
      <c r="Z41" s="1116"/>
      <c r="AA41" s="1116"/>
      <c r="AB41" s="1116"/>
      <c r="AC41" s="1116"/>
      <c r="AD41" s="1116"/>
      <c r="AE41" s="1116"/>
      <c r="AF41" s="1116"/>
      <c r="AG41" s="1116"/>
      <c r="AH41" s="1116"/>
      <c r="AI41" s="1117"/>
      <c r="AJ41" s="1084"/>
      <c r="AK41" s="1084"/>
    </row>
    <row r="42" spans="1:37" ht="13.5" customHeight="1">
      <c r="B42" s="1099" t="s">
        <v>734</v>
      </c>
      <c r="C42" s="1099"/>
      <c r="D42" s="1099"/>
      <c r="E42" s="1099"/>
      <c r="F42" s="1099"/>
      <c r="G42" s="1099"/>
      <c r="H42" s="1099"/>
      <c r="I42" s="1099"/>
      <c r="J42" s="1099"/>
      <c r="K42" s="1099"/>
      <c r="L42" s="1099"/>
      <c r="M42" s="1099"/>
      <c r="N42" s="1099"/>
      <c r="O42" s="1099"/>
      <c r="P42" s="1099"/>
      <c r="Q42" s="1099"/>
      <c r="R42" s="1099"/>
      <c r="S42" s="1099"/>
      <c r="T42" s="1099"/>
      <c r="U42" s="1099"/>
      <c r="V42" s="1099"/>
      <c r="W42" s="1099"/>
      <c r="X42" s="1099"/>
      <c r="Y42" s="1099"/>
      <c r="Z42" s="1099"/>
      <c r="AA42" s="1099"/>
      <c r="AB42" s="1099"/>
      <c r="AC42" s="1099"/>
      <c r="AD42" s="1099"/>
      <c r="AE42" s="1099"/>
      <c r="AF42" s="1099"/>
      <c r="AG42" s="1099"/>
      <c r="AH42" s="1099"/>
      <c r="AI42" s="1099"/>
    </row>
    <row r="43" spans="1:37">
      <c r="B43" s="1103"/>
      <c r="C43" s="1103"/>
      <c r="D43" s="1103"/>
      <c r="E43" s="1103"/>
      <c r="F43" s="1103"/>
      <c r="G43" s="1103"/>
      <c r="H43" s="1103"/>
      <c r="I43" s="1103"/>
      <c r="J43" s="1103"/>
      <c r="K43" s="1103"/>
      <c r="L43" s="1103"/>
      <c r="M43" s="1103"/>
      <c r="N43" s="1103"/>
      <c r="O43" s="1103"/>
      <c r="P43" s="1103"/>
      <c r="Q43" s="1103"/>
      <c r="R43" s="1103"/>
      <c r="S43" s="1103"/>
      <c r="T43" s="1103"/>
      <c r="U43" s="1103"/>
      <c r="V43" s="1103"/>
      <c r="W43" s="1103"/>
      <c r="X43" s="1103"/>
      <c r="Y43" s="1103"/>
      <c r="Z43" s="1103"/>
      <c r="AA43" s="1103"/>
      <c r="AB43" s="1103"/>
      <c r="AC43" s="1103"/>
      <c r="AD43" s="1103"/>
      <c r="AE43" s="1103"/>
      <c r="AF43" s="1103"/>
      <c r="AG43" s="1103"/>
      <c r="AH43" s="1103"/>
      <c r="AI43" s="1103"/>
    </row>
    <row r="44" spans="1:37" ht="13.5">
      <c r="A44" s="1089"/>
      <c r="B44" s="1089" t="s">
        <v>837</v>
      </c>
      <c r="C44" s="1089"/>
      <c r="D44" s="1089"/>
      <c r="E44" s="1089"/>
      <c r="F44" s="1089"/>
      <c r="G44" s="1089"/>
      <c r="H44" s="1089"/>
      <c r="I44" s="1089"/>
      <c r="J44" s="1089"/>
      <c r="K44" s="1089"/>
      <c r="L44" s="1089"/>
      <c r="M44" s="1089"/>
      <c r="N44" s="1089"/>
      <c r="O44" s="1089"/>
      <c r="P44" s="1089"/>
      <c r="Q44" s="1089"/>
      <c r="R44" s="1089"/>
      <c r="S44" s="1089"/>
      <c r="T44" s="1089"/>
      <c r="U44" s="1089"/>
      <c r="V44" s="1089"/>
      <c r="W44" s="1089"/>
      <c r="X44" s="1089"/>
      <c r="Y44" s="1089"/>
      <c r="Z44" s="1089"/>
      <c r="AA44" s="1089"/>
      <c r="AB44" s="1089"/>
      <c r="AC44" s="1089"/>
      <c r="AD44" s="1089"/>
      <c r="AE44" s="1089"/>
      <c r="AF44" s="1089"/>
      <c r="AG44" s="1089"/>
      <c r="AH44" s="1089"/>
      <c r="AI44" s="1089"/>
      <c r="AJ44" s="1089"/>
      <c r="AK44" s="1089"/>
    </row>
    <row r="45" spans="1:37" ht="17.25" customHeight="1">
      <c r="B45" s="1098" t="s">
        <v>663</v>
      </c>
      <c r="C45" s="1105"/>
      <c r="D45" s="1105"/>
      <c r="E45" s="1105"/>
      <c r="F45" s="1105"/>
      <c r="G45" s="1105"/>
      <c r="H45" s="1105"/>
      <c r="I45" s="1105"/>
      <c r="J45" s="1105"/>
      <c r="K45" s="1115" t="s">
        <v>742</v>
      </c>
      <c r="L45" s="1115"/>
      <c r="M45" s="1115"/>
      <c r="N45" s="1115"/>
      <c r="O45" s="1115"/>
      <c r="P45" s="1115"/>
      <c r="Q45" s="1115"/>
      <c r="R45" s="1115"/>
      <c r="S45" s="1115"/>
      <c r="T45" s="1115"/>
      <c r="U45" s="1115"/>
      <c r="V45" s="1115"/>
      <c r="W45" s="1115" t="s">
        <v>604</v>
      </c>
      <c r="X45" s="1115"/>
      <c r="Y45" s="1115"/>
      <c r="Z45" s="1115"/>
      <c r="AA45" s="1115"/>
      <c r="AB45" s="1115"/>
      <c r="AC45" s="1115"/>
      <c r="AD45" s="1115"/>
      <c r="AE45" s="1115"/>
      <c r="AF45" s="1115"/>
      <c r="AG45" s="1115"/>
      <c r="AH45" s="1115"/>
      <c r="AI45" s="1115"/>
    </row>
    <row r="46" spans="1:37" s="1084" customFormat="1" ht="80.099999999999994" customHeight="1">
      <c r="A46" s="1084"/>
      <c r="B46" s="1104" t="s">
        <v>751</v>
      </c>
      <c r="C46" s="1104"/>
      <c r="D46" s="1104"/>
      <c r="E46" s="1104"/>
      <c r="F46" s="1104"/>
      <c r="G46" s="1104"/>
      <c r="H46" s="1104"/>
      <c r="I46" s="1104"/>
      <c r="J46" s="1104"/>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0"/>
      <c r="AI46" s="1090"/>
      <c r="AJ46" s="1084"/>
      <c r="AK46" s="1084"/>
    </row>
    <row r="47" spans="1:37" ht="13.5" customHeight="1">
      <c r="B47" s="1099" t="s">
        <v>734</v>
      </c>
      <c r="C47" s="1099"/>
      <c r="D47" s="1099"/>
      <c r="E47" s="1099"/>
      <c r="F47" s="1099"/>
      <c r="G47" s="1099"/>
      <c r="H47" s="1099"/>
      <c r="I47" s="1099"/>
      <c r="J47" s="1099"/>
      <c r="K47" s="1099"/>
      <c r="L47" s="1099"/>
      <c r="M47" s="1099"/>
      <c r="N47" s="1099"/>
      <c r="O47" s="1099"/>
      <c r="P47" s="1099"/>
      <c r="Q47" s="1099"/>
      <c r="R47" s="1099"/>
      <c r="S47" s="1099"/>
      <c r="T47" s="1099"/>
      <c r="U47" s="1099"/>
      <c r="V47" s="1099"/>
      <c r="W47" s="1099"/>
      <c r="X47" s="1099"/>
      <c r="Y47" s="1099"/>
      <c r="Z47" s="1099"/>
      <c r="AA47" s="1099"/>
      <c r="AB47" s="1099"/>
      <c r="AC47" s="1099"/>
      <c r="AD47" s="1099"/>
      <c r="AE47" s="1099"/>
      <c r="AF47" s="1099"/>
      <c r="AG47" s="1099"/>
      <c r="AH47" s="1099"/>
      <c r="AI47" s="1099"/>
    </row>
  </sheetData>
  <mergeCells count="86">
    <mergeCell ref="A1:AK1"/>
    <mergeCell ref="A2:AK2"/>
    <mergeCell ref="Y4:AA4"/>
    <mergeCell ref="AB4:AJ4"/>
    <mergeCell ref="A5:AK5"/>
    <mergeCell ref="A6:AK6"/>
    <mergeCell ref="B7:D7"/>
    <mergeCell ref="E7:AA7"/>
    <mergeCell ref="AB7:AJ7"/>
    <mergeCell ref="B8:D8"/>
    <mergeCell ref="E8:AA8"/>
    <mergeCell ref="AB8:AJ8"/>
    <mergeCell ref="B9:D9"/>
    <mergeCell ref="E9:AA9"/>
    <mergeCell ref="AB9:AJ9"/>
    <mergeCell ref="B10:D10"/>
    <mergeCell ref="E10:AA10"/>
    <mergeCell ref="AB10:AJ10"/>
    <mergeCell ref="B11:D11"/>
    <mergeCell ref="E11:AA11"/>
    <mergeCell ref="AB11:AJ11"/>
    <mergeCell ref="B12:E12"/>
    <mergeCell ref="F12:AJ12"/>
    <mergeCell ref="B13:E13"/>
    <mergeCell ref="F13:AJ13"/>
    <mergeCell ref="B14:E14"/>
    <mergeCell ref="F14:AJ14"/>
    <mergeCell ref="B15:E15"/>
    <mergeCell ref="F15:AJ15"/>
    <mergeCell ref="B16:AJ16"/>
    <mergeCell ref="A18:AK18"/>
    <mergeCell ref="B19:J19"/>
    <mergeCell ref="K19:R19"/>
    <mergeCell ref="S19:AI19"/>
    <mergeCell ref="B20:J20"/>
    <mergeCell ref="K20:R20"/>
    <mergeCell ref="S20:AI20"/>
    <mergeCell ref="B21:J21"/>
    <mergeCell ref="K21:R21"/>
    <mergeCell ref="S21:AI21"/>
    <mergeCell ref="B22:J22"/>
    <mergeCell ref="K22:R22"/>
    <mergeCell ref="S22:AI22"/>
    <mergeCell ref="B23:AI23"/>
    <mergeCell ref="A25:AK25"/>
    <mergeCell ref="B26:AK26"/>
    <mergeCell ref="B27:J27"/>
    <mergeCell ref="K27:V27"/>
    <mergeCell ref="W27:AI27"/>
    <mergeCell ref="B28:J28"/>
    <mergeCell ref="K28:V28"/>
    <mergeCell ref="W28:AI28"/>
    <mergeCell ref="B29:J29"/>
    <mergeCell ref="K29:V29"/>
    <mergeCell ref="W29:AI29"/>
    <mergeCell ref="B30:AI30"/>
    <mergeCell ref="B32:AK32"/>
    <mergeCell ref="B33:J33"/>
    <mergeCell ref="K33:V33"/>
    <mergeCell ref="W33:AI33"/>
    <mergeCell ref="B34:J34"/>
    <mergeCell ref="K34:V34"/>
    <mergeCell ref="W34:AI34"/>
    <mergeCell ref="B35:J35"/>
    <mergeCell ref="K35:V35"/>
    <mergeCell ref="W35:AI35"/>
    <mergeCell ref="B36:AI36"/>
    <mergeCell ref="B38:AK38"/>
    <mergeCell ref="B39:J39"/>
    <mergeCell ref="K39:V39"/>
    <mergeCell ref="W39:AI39"/>
    <mergeCell ref="B40:J40"/>
    <mergeCell ref="K40:V40"/>
    <mergeCell ref="W40:AI40"/>
    <mergeCell ref="B41:J41"/>
    <mergeCell ref="K41:V41"/>
    <mergeCell ref="W41:AI41"/>
    <mergeCell ref="B42:AI42"/>
    <mergeCell ref="B44:AK44"/>
    <mergeCell ref="B45:J45"/>
    <mergeCell ref="K45:V45"/>
    <mergeCell ref="W45:AI45"/>
    <mergeCell ref="B46:J46"/>
    <mergeCell ref="K46:V46"/>
    <mergeCell ref="W46:AI46"/>
    <mergeCell ref="B47:AI47"/>
  </mergeCells>
  <phoneticPr fontId="5"/>
  <dataValidations count="2">
    <dataValidation type="list" allowBlank="1" showDropDown="0" showInputMessage="1" showErrorMessage="1" sqref="B13:E15 IX13:JA15 ST13:SW15 ACP13:ACS15 AML13:AMO15 AWH13:AWK15 BGD13:BGG15 BPZ13:BQC15 BZV13:BZY15 CJR13:CJU15 CTN13:CTQ15 DDJ13:DDM15 DNF13:DNI15 DXB13:DXE15 EGX13:EHA15 EQT13:EQW15 FAP13:FAS15 FKL13:FKO15 FUH13:FUK15 GED13:GEG15 GNZ13:GOC15 GXV13:GXY15 HHR13:HHU15 HRN13:HRQ15 IBJ13:IBM15 ILF13:ILI15 IVB13:IVE15 JEX13:JFA15 JOT13:JOW15 JYP13:JYS15 KIL13:KIO15 KSH13:KSK15 LCD13:LCG15 LLZ13:LMC15 LVV13:LVY15 MFR13:MFU15 MPN13:MPQ15 MZJ13:MZM15 NJF13:NJI15 NTB13:NTE15 OCX13:ODA15 OMT13:OMW15 OWP13:OWS15 PGL13:PGO15 PQH13:PQK15 QAD13:QAG15 QJZ13:QKC15 QTV13:QTY15 RDR13:RDU15 RNN13:RNQ15 RXJ13:RXM15 SHF13:SHI15 SRB13:SRE15 TAX13:TBA15 TKT13:TKW15 TUP13:TUS15 UEL13:UEO15 UOH13:UOK15 UYD13:UYG15 VHZ13:VIC15 VRV13:VRY15 WBR13:WBU15 WLN13:WLQ15 WVJ13:WVM15 B65549:E65551 IX65549:JA65551 ST65549:SW65551 ACP65549:ACS65551 AML65549:AMO65551 AWH65549:AWK65551 BGD65549:BGG65551 BPZ65549:BQC65551 BZV65549:BZY65551 CJR65549:CJU65551 CTN65549:CTQ65551 DDJ65549:DDM65551 DNF65549:DNI65551 DXB65549:DXE65551 EGX65549:EHA65551 EQT65549:EQW65551 FAP65549:FAS65551 FKL65549:FKO65551 FUH65549:FUK65551 GED65549:GEG65551 GNZ65549:GOC65551 GXV65549:GXY65551 HHR65549:HHU65551 HRN65549:HRQ65551 IBJ65549:IBM65551 ILF65549:ILI65551 IVB65549:IVE65551 JEX65549:JFA65551 JOT65549:JOW65551 JYP65549:JYS65551 KIL65549:KIO65551 KSH65549:KSK65551 LCD65549:LCG65551 LLZ65549:LMC65551 LVV65549:LVY65551 MFR65549:MFU65551 MPN65549:MPQ65551 MZJ65549:MZM65551 NJF65549:NJI65551 NTB65549:NTE65551 OCX65549:ODA65551 OMT65549:OMW65551 OWP65549:OWS65551 PGL65549:PGO65551 PQH65549:PQK65551 QAD65549:QAG65551 QJZ65549:QKC65551 QTV65549:QTY65551 RDR65549:RDU65551 RNN65549:RNQ65551 RXJ65549:RXM65551 SHF65549:SHI65551 SRB65549:SRE65551 TAX65549:TBA65551 TKT65549:TKW65551 TUP65549:TUS65551 UEL65549:UEO65551 UOH65549:UOK65551 UYD65549:UYG65551 VHZ65549:VIC65551 VRV65549:VRY65551 WBR65549:WBU65551 WLN65549:WLQ65551 WVJ65549:WVM65551 B131085:E131087 IX131085:JA131087 ST131085:SW131087 ACP131085:ACS131087 AML131085:AMO131087 AWH131085:AWK131087 BGD131085:BGG131087 BPZ131085:BQC131087 BZV131085:BZY131087 CJR131085:CJU131087 CTN131085:CTQ131087 DDJ131085:DDM131087 DNF131085:DNI131087 DXB131085:DXE131087 EGX131085:EHA131087 EQT131085:EQW131087 FAP131085:FAS131087 FKL131085:FKO131087 FUH131085:FUK131087 GED131085:GEG131087 GNZ131085:GOC131087 GXV131085:GXY131087 HHR131085:HHU131087 HRN131085:HRQ131087 IBJ131085:IBM131087 ILF131085:ILI131087 IVB131085:IVE131087 JEX131085:JFA131087 JOT131085:JOW131087 JYP131085:JYS131087 KIL131085:KIO131087 KSH131085:KSK131087 LCD131085:LCG131087 LLZ131085:LMC131087 LVV131085:LVY131087 MFR131085:MFU131087 MPN131085:MPQ131087 MZJ131085:MZM131087 NJF131085:NJI131087 NTB131085:NTE131087 OCX131085:ODA131087 OMT131085:OMW131087 OWP131085:OWS131087 PGL131085:PGO131087 PQH131085:PQK131087 QAD131085:QAG131087 QJZ131085:QKC131087 QTV131085:QTY131087 RDR131085:RDU131087 RNN131085:RNQ131087 RXJ131085:RXM131087 SHF131085:SHI131087 SRB131085:SRE131087 TAX131085:TBA131087 TKT131085:TKW131087 TUP131085:TUS131087 UEL131085:UEO131087 UOH131085:UOK131087 UYD131085:UYG131087 VHZ131085:VIC131087 VRV131085:VRY131087 WBR131085:WBU131087 WLN131085:WLQ131087 WVJ131085:WVM131087 B196621:E196623 IX196621:JA196623 ST196621:SW196623 ACP196621:ACS196623 AML196621:AMO196623 AWH196621:AWK196623 BGD196621:BGG196623 BPZ196621:BQC196623 BZV196621:BZY196623 CJR196621:CJU196623 CTN196621:CTQ196623 DDJ196621:DDM196623 DNF196621:DNI196623 DXB196621:DXE196623 EGX196621:EHA196623 EQT196621:EQW196623 FAP196621:FAS196623 FKL196621:FKO196623 FUH196621:FUK196623 GED196621:GEG196623 GNZ196621:GOC196623 GXV196621:GXY196623 HHR196621:HHU196623 HRN196621:HRQ196623 IBJ196621:IBM196623 ILF196621:ILI196623 IVB196621:IVE196623 JEX196621:JFA196623 JOT196621:JOW196623 JYP196621:JYS196623 KIL196621:KIO196623 KSH196621:KSK196623 LCD196621:LCG196623 LLZ196621:LMC196623 LVV196621:LVY196623 MFR196621:MFU196623 MPN196621:MPQ196623 MZJ196621:MZM196623 NJF196621:NJI196623 NTB196621:NTE196623 OCX196621:ODA196623 OMT196621:OMW196623 OWP196621:OWS196623 PGL196621:PGO196623 PQH196621:PQK196623 QAD196621:QAG196623 QJZ196621:QKC196623 QTV196621:QTY196623 RDR196621:RDU196623 RNN196621:RNQ196623 RXJ196621:RXM196623 SHF196621:SHI196623 SRB196621:SRE196623 TAX196621:TBA196623 TKT196621:TKW196623 TUP196621:TUS196623 UEL196621:UEO196623 UOH196621:UOK196623 UYD196621:UYG196623 VHZ196621:VIC196623 VRV196621:VRY196623 WBR196621:WBU196623 WLN196621:WLQ196623 WVJ196621:WVM196623 B262157:E262159 IX262157:JA262159 ST262157:SW262159 ACP262157:ACS262159 AML262157:AMO262159 AWH262157:AWK262159 BGD262157:BGG262159 BPZ262157:BQC262159 BZV262157:BZY262159 CJR262157:CJU262159 CTN262157:CTQ262159 DDJ262157:DDM262159 DNF262157:DNI262159 DXB262157:DXE262159 EGX262157:EHA262159 EQT262157:EQW262159 FAP262157:FAS262159 FKL262157:FKO262159 FUH262157:FUK262159 GED262157:GEG262159 GNZ262157:GOC262159 GXV262157:GXY262159 HHR262157:HHU262159 HRN262157:HRQ262159 IBJ262157:IBM262159 ILF262157:ILI262159 IVB262157:IVE262159 JEX262157:JFA262159 JOT262157:JOW262159 JYP262157:JYS262159 KIL262157:KIO262159 KSH262157:KSK262159 LCD262157:LCG262159 LLZ262157:LMC262159 LVV262157:LVY262159 MFR262157:MFU262159 MPN262157:MPQ262159 MZJ262157:MZM262159 NJF262157:NJI262159 NTB262157:NTE262159 OCX262157:ODA262159 OMT262157:OMW262159 OWP262157:OWS262159 PGL262157:PGO262159 PQH262157:PQK262159 QAD262157:QAG262159 QJZ262157:QKC262159 QTV262157:QTY262159 RDR262157:RDU262159 RNN262157:RNQ262159 RXJ262157:RXM262159 SHF262157:SHI262159 SRB262157:SRE262159 TAX262157:TBA262159 TKT262157:TKW262159 TUP262157:TUS262159 UEL262157:UEO262159 UOH262157:UOK262159 UYD262157:UYG262159 VHZ262157:VIC262159 VRV262157:VRY262159 WBR262157:WBU262159 WLN262157:WLQ262159 WVJ262157:WVM262159 B327693:E327695 IX327693:JA327695 ST327693:SW327695 ACP327693:ACS327695 AML327693:AMO327695 AWH327693:AWK327695 BGD327693:BGG327695 BPZ327693:BQC327695 BZV327693:BZY327695 CJR327693:CJU327695 CTN327693:CTQ327695 DDJ327693:DDM327695 DNF327693:DNI327695 DXB327693:DXE327695 EGX327693:EHA327695 EQT327693:EQW327695 FAP327693:FAS327695 FKL327693:FKO327695 FUH327693:FUK327695 GED327693:GEG327695 GNZ327693:GOC327695 GXV327693:GXY327695 HHR327693:HHU327695 HRN327693:HRQ327695 IBJ327693:IBM327695 ILF327693:ILI327695 IVB327693:IVE327695 JEX327693:JFA327695 JOT327693:JOW327695 JYP327693:JYS327695 KIL327693:KIO327695 KSH327693:KSK327695 LCD327693:LCG327695 LLZ327693:LMC327695 LVV327693:LVY327695 MFR327693:MFU327695 MPN327693:MPQ327695 MZJ327693:MZM327695 NJF327693:NJI327695 NTB327693:NTE327695 OCX327693:ODA327695 OMT327693:OMW327695 OWP327693:OWS327695 PGL327693:PGO327695 PQH327693:PQK327695 QAD327693:QAG327695 QJZ327693:QKC327695 QTV327693:QTY327695 RDR327693:RDU327695 RNN327693:RNQ327695 RXJ327693:RXM327695 SHF327693:SHI327695 SRB327693:SRE327695 TAX327693:TBA327695 TKT327693:TKW327695 TUP327693:TUS327695 UEL327693:UEO327695 UOH327693:UOK327695 UYD327693:UYG327695 VHZ327693:VIC327695 VRV327693:VRY327695 WBR327693:WBU327695 WLN327693:WLQ327695 WVJ327693:WVM327695 B393229:E393231 IX393229:JA393231 ST393229:SW393231 ACP393229:ACS393231 AML393229:AMO393231 AWH393229:AWK393231 BGD393229:BGG393231 BPZ393229:BQC393231 BZV393229:BZY393231 CJR393229:CJU393231 CTN393229:CTQ393231 DDJ393229:DDM393231 DNF393229:DNI393231 DXB393229:DXE393231 EGX393229:EHA393231 EQT393229:EQW393231 FAP393229:FAS393231 FKL393229:FKO393231 FUH393229:FUK393231 GED393229:GEG393231 GNZ393229:GOC393231 GXV393229:GXY393231 HHR393229:HHU393231 HRN393229:HRQ393231 IBJ393229:IBM393231 ILF393229:ILI393231 IVB393229:IVE393231 JEX393229:JFA393231 JOT393229:JOW393231 JYP393229:JYS393231 KIL393229:KIO393231 KSH393229:KSK393231 LCD393229:LCG393231 LLZ393229:LMC393231 LVV393229:LVY393231 MFR393229:MFU393231 MPN393229:MPQ393231 MZJ393229:MZM393231 NJF393229:NJI393231 NTB393229:NTE393231 OCX393229:ODA393231 OMT393229:OMW393231 OWP393229:OWS393231 PGL393229:PGO393231 PQH393229:PQK393231 QAD393229:QAG393231 QJZ393229:QKC393231 QTV393229:QTY393231 RDR393229:RDU393231 RNN393229:RNQ393231 RXJ393229:RXM393231 SHF393229:SHI393231 SRB393229:SRE393231 TAX393229:TBA393231 TKT393229:TKW393231 TUP393229:TUS393231 UEL393229:UEO393231 UOH393229:UOK393231 UYD393229:UYG393231 VHZ393229:VIC393231 VRV393229:VRY393231 WBR393229:WBU393231 WLN393229:WLQ393231 WVJ393229:WVM393231 B458765:E458767 IX458765:JA458767 ST458765:SW458767 ACP458765:ACS458767 AML458765:AMO458767 AWH458765:AWK458767 BGD458765:BGG458767 BPZ458765:BQC458767 BZV458765:BZY458767 CJR458765:CJU458767 CTN458765:CTQ458767 DDJ458765:DDM458767 DNF458765:DNI458767 DXB458765:DXE458767 EGX458765:EHA458767 EQT458765:EQW458767 FAP458765:FAS458767 FKL458765:FKO458767 FUH458765:FUK458767 GED458765:GEG458767 GNZ458765:GOC458767 GXV458765:GXY458767 HHR458765:HHU458767 HRN458765:HRQ458767 IBJ458765:IBM458767 ILF458765:ILI458767 IVB458765:IVE458767 JEX458765:JFA458767 JOT458765:JOW458767 JYP458765:JYS458767 KIL458765:KIO458767 KSH458765:KSK458767 LCD458765:LCG458767 LLZ458765:LMC458767 LVV458765:LVY458767 MFR458765:MFU458767 MPN458765:MPQ458767 MZJ458765:MZM458767 NJF458765:NJI458767 NTB458765:NTE458767 OCX458765:ODA458767 OMT458765:OMW458767 OWP458765:OWS458767 PGL458765:PGO458767 PQH458765:PQK458767 QAD458765:QAG458767 QJZ458765:QKC458767 QTV458765:QTY458767 RDR458765:RDU458767 RNN458765:RNQ458767 RXJ458765:RXM458767 SHF458765:SHI458767 SRB458765:SRE458767 TAX458765:TBA458767 TKT458765:TKW458767 TUP458765:TUS458767 UEL458765:UEO458767 UOH458765:UOK458767 UYD458765:UYG458767 VHZ458765:VIC458767 VRV458765:VRY458767 WBR458765:WBU458767 WLN458765:WLQ458767 WVJ458765:WVM458767 B524301:E524303 IX524301:JA524303 ST524301:SW524303 ACP524301:ACS524303 AML524301:AMO524303 AWH524301:AWK524303 BGD524301:BGG524303 BPZ524301:BQC524303 BZV524301:BZY524303 CJR524301:CJU524303 CTN524301:CTQ524303 DDJ524301:DDM524303 DNF524301:DNI524303 DXB524301:DXE524303 EGX524301:EHA524303 EQT524301:EQW524303 FAP524301:FAS524303 FKL524301:FKO524303 FUH524301:FUK524303 GED524301:GEG524303 GNZ524301:GOC524303 GXV524301:GXY524303 HHR524301:HHU524303 HRN524301:HRQ524303 IBJ524301:IBM524303 ILF524301:ILI524303 IVB524301:IVE524303 JEX524301:JFA524303 JOT524301:JOW524303 JYP524301:JYS524303 KIL524301:KIO524303 KSH524301:KSK524303 LCD524301:LCG524303 LLZ524301:LMC524303 LVV524301:LVY524303 MFR524301:MFU524303 MPN524301:MPQ524303 MZJ524301:MZM524303 NJF524301:NJI524303 NTB524301:NTE524303 OCX524301:ODA524303 OMT524301:OMW524303 OWP524301:OWS524303 PGL524301:PGO524303 PQH524301:PQK524303 QAD524301:QAG524303 QJZ524301:QKC524303 QTV524301:QTY524303 RDR524301:RDU524303 RNN524301:RNQ524303 RXJ524301:RXM524303 SHF524301:SHI524303 SRB524301:SRE524303 TAX524301:TBA524303 TKT524301:TKW524303 TUP524301:TUS524303 UEL524301:UEO524303 UOH524301:UOK524303 UYD524301:UYG524303 VHZ524301:VIC524303 VRV524301:VRY524303 WBR524301:WBU524303 WLN524301:WLQ524303 WVJ524301:WVM524303 B589837:E589839 IX589837:JA589839 ST589837:SW589839 ACP589837:ACS589839 AML589837:AMO589839 AWH589837:AWK589839 BGD589837:BGG589839 BPZ589837:BQC589839 BZV589837:BZY589839 CJR589837:CJU589839 CTN589837:CTQ589839 DDJ589837:DDM589839 DNF589837:DNI589839 DXB589837:DXE589839 EGX589837:EHA589839 EQT589837:EQW589839 FAP589837:FAS589839 FKL589837:FKO589839 FUH589837:FUK589839 GED589837:GEG589839 GNZ589837:GOC589839 GXV589837:GXY589839 HHR589837:HHU589839 HRN589837:HRQ589839 IBJ589837:IBM589839 ILF589837:ILI589839 IVB589837:IVE589839 JEX589837:JFA589839 JOT589837:JOW589839 JYP589837:JYS589839 KIL589837:KIO589839 KSH589837:KSK589839 LCD589837:LCG589839 LLZ589837:LMC589839 LVV589837:LVY589839 MFR589837:MFU589839 MPN589837:MPQ589839 MZJ589837:MZM589839 NJF589837:NJI589839 NTB589837:NTE589839 OCX589837:ODA589839 OMT589837:OMW589839 OWP589837:OWS589839 PGL589837:PGO589839 PQH589837:PQK589839 QAD589837:QAG589839 QJZ589837:QKC589839 QTV589837:QTY589839 RDR589837:RDU589839 RNN589837:RNQ589839 RXJ589837:RXM589839 SHF589837:SHI589839 SRB589837:SRE589839 TAX589837:TBA589839 TKT589837:TKW589839 TUP589837:TUS589839 UEL589837:UEO589839 UOH589837:UOK589839 UYD589837:UYG589839 VHZ589837:VIC589839 VRV589837:VRY589839 WBR589837:WBU589839 WLN589837:WLQ589839 WVJ589837:WVM589839 B655373:E655375 IX655373:JA655375 ST655373:SW655375 ACP655373:ACS655375 AML655373:AMO655375 AWH655373:AWK655375 BGD655373:BGG655375 BPZ655373:BQC655375 BZV655373:BZY655375 CJR655373:CJU655375 CTN655373:CTQ655375 DDJ655373:DDM655375 DNF655373:DNI655375 DXB655373:DXE655375 EGX655373:EHA655375 EQT655373:EQW655375 FAP655373:FAS655375 FKL655373:FKO655375 FUH655373:FUK655375 GED655373:GEG655375 GNZ655373:GOC655375 GXV655373:GXY655375 HHR655373:HHU655375 HRN655373:HRQ655375 IBJ655373:IBM655375 ILF655373:ILI655375 IVB655373:IVE655375 JEX655373:JFA655375 JOT655373:JOW655375 JYP655373:JYS655375 KIL655373:KIO655375 KSH655373:KSK655375 LCD655373:LCG655375 LLZ655373:LMC655375 LVV655373:LVY655375 MFR655373:MFU655375 MPN655373:MPQ655375 MZJ655373:MZM655375 NJF655373:NJI655375 NTB655373:NTE655375 OCX655373:ODA655375 OMT655373:OMW655375 OWP655373:OWS655375 PGL655373:PGO655375 PQH655373:PQK655375 QAD655373:QAG655375 QJZ655373:QKC655375 QTV655373:QTY655375 RDR655373:RDU655375 RNN655373:RNQ655375 RXJ655373:RXM655375 SHF655373:SHI655375 SRB655373:SRE655375 TAX655373:TBA655375 TKT655373:TKW655375 TUP655373:TUS655375 UEL655373:UEO655375 UOH655373:UOK655375 UYD655373:UYG655375 VHZ655373:VIC655375 VRV655373:VRY655375 WBR655373:WBU655375 WLN655373:WLQ655375 WVJ655373:WVM655375 B720909:E720911 IX720909:JA720911 ST720909:SW720911 ACP720909:ACS720911 AML720909:AMO720911 AWH720909:AWK720911 BGD720909:BGG720911 BPZ720909:BQC720911 BZV720909:BZY720911 CJR720909:CJU720911 CTN720909:CTQ720911 DDJ720909:DDM720911 DNF720909:DNI720911 DXB720909:DXE720911 EGX720909:EHA720911 EQT720909:EQW720911 FAP720909:FAS720911 FKL720909:FKO720911 FUH720909:FUK720911 GED720909:GEG720911 GNZ720909:GOC720911 GXV720909:GXY720911 HHR720909:HHU720911 HRN720909:HRQ720911 IBJ720909:IBM720911 ILF720909:ILI720911 IVB720909:IVE720911 JEX720909:JFA720911 JOT720909:JOW720911 JYP720909:JYS720911 KIL720909:KIO720911 KSH720909:KSK720911 LCD720909:LCG720911 LLZ720909:LMC720911 LVV720909:LVY720911 MFR720909:MFU720911 MPN720909:MPQ720911 MZJ720909:MZM720911 NJF720909:NJI720911 NTB720909:NTE720911 OCX720909:ODA720911 OMT720909:OMW720911 OWP720909:OWS720911 PGL720909:PGO720911 PQH720909:PQK720911 QAD720909:QAG720911 QJZ720909:QKC720911 QTV720909:QTY720911 RDR720909:RDU720911 RNN720909:RNQ720911 RXJ720909:RXM720911 SHF720909:SHI720911 SRB720909:SRE720911 TAX720909:TBA720911 TKT720909:TKW720911 TUP720909:TUS720911 UEL720909:UEO720911 UOH720909:UOK720911 UYD720909:UYG720911 VHZ720909:VIC720911 VRV720909:VRY720911 WBR720909:WBU720911 WLN720909:WLQ720911 WVJ720909:WVM720911 B786445:E786447 IX786445:JA786447 ST786445:SW786447 ACP786445:ACS786447 AML786445:AMO786447 AWH786445:AWK786447 BGD786445:BGG786447 BPZ786445:BQC786447 BZV786445:BZY786447 CJR786445:CJU786447 CTN786445:CTQ786447 DDJ786445:DDM786447 DNF786445:DNI786447 DXB786445:DXE786447 EGX786445:EHA786447 EQT786445:EQW786447 FAP786445:FAS786447 FKL786445:FKO786447 FUH786445:FUK786447 GED786445:GEG786447 GNZ786445:GOC786447 GXV786445:GXY786447 HHR786445:HHU786447 HRN786445:HRQ786447 IBJ786445:IBM786447 ILF786445:ILI786447 IVB786445:IVE786447 JEX786445:JFA786447 JOT786445:JOW786447 JYP786445:JYS786447 KIL786445:KIO786447 KSH786445:KSK786447 LCD786445:LCG786447 LLZ786445:LMC786447 LVV786445:LVY786447 MFR786445:MFU786447 MPN786445:MPQ786447 MZJ786445:MZM786447 NJF786445:NJI786447 NTB786445:NTE786447 OCX786445:ODA786447 OMT786445:OMW786447 OWP786445:OWS786447 PGL786445:PGO786447 PQH786445:PQK786447 QAD786445:QAG786447 QJZ786445:QKC786447 QTV786445:QTY786447 RDR786445:RDU786447 RNN786445:RNQ786447 RXJ786445:RXM786447 SHF786445:SHI786447 SRB786445:SRE786447 TAX786445:TBA786447 TKT786445:TKW786447 TUP786445:TUS786447 UEL786445:UEO786447 UOH786445:UOK786447 UYD786445:UYG786447 VHZ786445:VIC786447 VRV786445:VRY786447 WBR786445:WBU786447 WLN786445:WLQ786447 WVJ786445:WVM786447 B851981:E851983 IX851981:JA851983 ST851981:SW851983 ACP851981:ACS851983 AML851981:AMO851983 AWH851981:AWK851983 BGD851981:BGG851983 BPZ851981:BQC851983 BZV851981:BZY851983 CJR851981:CJU851983 CTN851981:CTQ851983 DDJ851981:DDM851983 DNF851981:DNI851983 DXB851981:DXE851983 EGX851981:EHA851983 EQT851981:EQW851983 FAP851981:FAS851983 FKL851981:FKO851983 FUH851981:FUK851983 GED851981:GEG851983 GNZ851981:GOC851983 GXV851981:GXY851983 HHR851981:HHU851983 HRN851981:HRQ851983 IBJ851981:IBM851983 ILF851981:ILI851983 IVB851981:IVE851983 JEX851981:JFA851983 JOT851981:JOW851983 JYP851981:JYS851983 KIL851981:KIO851983 KSH851981:KSK851983 LCD851981:LCG851983 LLZ851981:LMC851983 LVV851981:LVY851983 MFR851981:MFU851983 MPN851981:MPQ851983 MZJ851981:MZM851983 NJF851981:NJI851983 NTB851981:NTE851983 OCX851981:ODA851983 OMT851981:OMW851983 OWP851981:OWS851983 PGL851981:PGO851983 PQH851981:PQK851983 QAD851981:QAG851983 QJZ851981:QKC851983 QTV851981:QTY851983 RDR851981:RDU851983 RNN851981:RNQ851983 RXJ851981:RXM851983 SHF851981:SHI851983 SRB851981:SRE851983 TAX851981:TBA851983 TKT851981:TKW851983 TUP851981:TUS851983 UEL851981:UEO851983 UOH851981:UOK851983 UYD851981:UYG851983 VHZ851981:VIC851983 VRV851981:VRY851983 WBR851981:WBU851983 WLN851981:WLQ851983 WVJ851981:WVM851983 B917517:E917519 IX917517:JA917519 ST917517:SW917519 ACP917517:ACS917519 AML917517:AMO917519 AWH917517:AWK917519 BGD917517:BGG917519 BPZ917517:BQC917519 BZV917517:BZY917519 CJR917517:CJU917519 CTN917517:CTQ917519 DDJ917517:DDM917519 DNF917517:DNI917519 DXB917517:DXE917519 EGX917517:EHA917519 EQT917517:EQW917519 FAP917517:FAS917519 FKL917517:FKO917519 FUH917517:FUK917519 GED917517:GEG917519 GNZ917517:GOC917519 GXV917517:GXY917519 HHR917517:HHU917519 HRN917517:HRQ917519 IBJ917517:IBM917519 ILF917517:ILI917519 IVB917517:IVE917519 JEX917517:JFA917519 JOT917517:JOW917519 JYP917517:JYS917519 KIL917517:KIO917519 KSH917517:KSK917519 LCD917517:LCG917519 LLZ917517:LMC917519 LVV917517:LVY917519 MFR917517:MFU917519 MPN917517:MPQ917519 MZJ917517:MZM917519 NJF917517:NJI917519 NTB917517:NTE917519 OCX917517:ODA917519 OMT917517:OMW917519 OWP917517:OWS917519 PGL917517:PGO917519 PQH917517:PQK917519 QAD917517:QAG917519 QJZ917517:QKC917519 QTV917517:QTY917519 RDR917517:RDU917519 RNN917517:RNQ917519 RXJ917517:RXM917519 SHF917517:SHI917519 SRB917517:SRE917519 TAX917517:TBA917519 TKT917517:TKW917519 TUP917517:TUS917519 UEL917517:UEO917519 UOH917517:UOK917519 UYD917517:UYG917519 VHZ917517:VIC917519 VRV917517:VRY917519 WBR917517:WBU917519 WLN917517:WLQ917519 WVJ917517:WVM917519 B983053:E983055 IX983053:JA983055 ST983053:SW983055 ACP983053:ACS983055 AML983053:AMO983055 AWH983053:AWK983055 BGD983053:BGG983055 BPZ983053:BQC983055 BZV983053:BZY983055 CJR983053:CJU983055 CTN983053:CTQ983055 DDJ983053:DDM983055 DNF983053:DNI983055 DXB983053:DXE983055 EGX983053:EHA983055 EQT983053:EQW983055 FAP983053:FAS983055 FKL983053:FKO983055 FUH983053:FUK983055 GED983053:GEG983055 GNZ983053:GOC983055 GXV983053:GXY983055 HHR983053:HHU983055 HRN983053:HRQ983055 IBJ983053:IBM983055 ILF983053:ILI983055 IVB983053:IVE983055 JEX983053:JFA983055 JOT983053:JOW983055 JYP983053:JYS983055 KIL983053:KIO983055 KSH983053:KSK983055 LCD983053:LCG983055 LLZ983053:LMC983055 LVV983053:LVY983055 MFR983053:MFU983055 MPN983053:MPQ983055 MZJ983053:MZM983055 NJF983053:NJI983055 NTB983053:NTE983055 OCX983053:ODA983055 OMT983053:OMW983055 OWP983053:OWS983055 PGL983053:PGO983055 PQH983053:PQK983055 QAD983053:QAG983055 QJZ983053:QKC983055 QTV983053:QTY983055 RDR983053:RDU983055 RNN983053:RNQ983055 RXJ983053:RXM983055 SHF983053:SHI983055 SRB983053:SRE983055 TAX983053:TBA983055 TKT983053:TKW983055 TUP983053:TUS983055 UEL983053:UEO983055 UOH983053:UOK983055 UYD983053:UYG983055 VHZ983053:VIC983055 VRV983053:VRY983055 WBR983053:WBU983055 WLN983053:WLQ983055 WVJ983053:WVM983055">
      <formula1>"①,②,③,④"</formula1>
    </dataValidation>
    <dataValidation type="list" allowBlank="1" showDropDown="0" showInputMessage="1" showErrorMessage="1" sqref="B8:D11 IX8:IZ11 ST8:SV11 ACP8:ACR11 AML8:AMN11 AWH8:AWJ11 BGD8:BGF11 BPZ8:BQB11 BZV8:BZX11 CJR8:CJT11 CTN8:CTP11 DDJ8:DDL11 DNF8:DNH11 DXB8:DXD11 EGX8:EGZ11 EQT8:EQV11 FAP8:FAR11 FKL8:FKN11 FUH8:FUJ11 GED8:GEF11 GNZ8:GOB11 GXV8:GXX11 HHR8:HHT11 HRN8:HRP11 IBJ8:IBL11 ILF8:ILH11 IVB8:IVD11 JEX8:JEZ11 JOT8:JOV11 JYP8:JYR11 KIL8:KIN11 KSH8:KSJ11 LCD8:LCF11 LLZ8:LMB11 LVV8:LVX11 MFR8:MFT11 MPN8:MPP11 MZJ8:MZL11 NJF8:NJH11 NTB8:NTD11 OCX8:OCZ11 OMT8:OMV11 OWP8:OWR11 PGL8:PGN11 PQH8:PQJ11 QAD8:QAF11 QJZ8:QKB11 QTV8:QTX11 RDR8:RDT11 RNN8:RNP11 RXJ8:RXL11 SHF8:SHH11 SRB8:SRD11 TAX8:TAZ11 TKT8:TKV11 TUP8:TUR11 UEL8:UEN11 UOH8:UOJ11 UYD8:UYF11 VHZ8:VIB11 VRV8:VRX11 WBR8:WBT11 WLN8:WLP11 WVJ8:WVL11 B65544:D65547 IX65544:IZ65547 ST65544:SV65547 ACP65544:ACR65547 AML65544:AMN65547 AWH65544:AWJ65547 BGD65544:BGF65547 BPZ65544:BQB65547 BZV65544:BZX65547 CJR65544:CJT65547 CTN65544:CTP65547 DDJ65544:DDL65547 DNF65544:DNH65547 DXB65544:DXD65547 EGX65544:EGZ65547 EQT65544:EQV65547 FAP65544:FAR65547 FKL65544:FKN65547 FUH65544:FUJ65547 GED65544:GEF65547 GNZ65544:GOB65547 GXV65544:GXX65547 HHR65544:HHT65547 HRN65544:HRP65547 IBJ65544:IBL65547 ILF65544:ILH65547 IVB65544:IVD65547 JEX65544:JEZ65547 JOT65544:JOV65547 JYP65544:JYR65547 KIL65544:KIN65547 KSH65544:KSJ65547 LCD65544:LCF65547 LLZ65544:LMB65547 LVV65544:LVX65547 MFR65544:MFT65547 MPN65544:MPP65547 MZJ65544:MZL65547 NJF65544:NJH65547 NTB65544:NTD65547 OCX65544:OCZ65547 OMT65544:OMV65547 OWP65544:OWR65547 PGL65544:PGN65547 PQH65544:PQJ65547 QAD65544:QAF65547 QJZ65544:QKB65547 QTV65544:QTX65547 RDR65544:RDT65547 RNN65544:RNP65547 RXJ65544:RXL65547 SHF65544:SHH65547 SRB65544:SRD65547 TAX65544:TAZ65547 TKT65544:TKV65547 TUP65544:TUR65547 UEL65544:UEN65547 UOH65544:UOJ65547 UYD65544:UYF65547 VHZ65544:VIB65547 VRV65544:VRX65547 WBR65544:WBT65547 WLN65544:WLP65547 WVJ65544:WVL65547 B131080:D131083 IX131080:IZ131083 ST131080:SV131083 ACP131080:ACR131083 AML131080:AMN131083 AWH131080:AWJ131083 BGD131080:BGF131083 BPZ131080:BQB131083 BZV131080:BZX131083 CJR131080:CJT131083 CTN131080:CTP131083 DDJ131080:DDL131083 DNF131080:DNH131083 DXB131080:DXD131083 EGX131080:EGZ131083 EQT131080:EQV131083 FAP131080:FAR131083 FKL131080:FKN131083 FUH131080:FUJ131083 GED131080:GEF131083 GNZ131080:GOB131083 GXV131080:GXX131083 HHR131080:HHT131083 HRN131080:HRP131083 IBJ131080:IBL131083 ILF131080:ILH131083 IVB131080:IVD131083 JEX131080:JEZ131083 JOT131080:JOV131083 JYP131080:JYR131083 KIL131080:KIN131083 KSH131080:KSJ131083 LCD131080:LCF131083 LLZ131080:LMB131083 LVV131080:LVX131083 MFR131080:MFT131083 MPN131080:MPP131083 MZJ131080:MZL131083 NJF131080:NJH131083 NTB131080:NTD131083 OCX131080:OCZ131083 OMT131080:OMV131083 OWP131080:OWR131083 PGL131080:PGN131083 PQH131080:PQJ131083 QAD131080:QAF131083 QJZ131080:QKB131083 QTV131080:QTX131083 RDR131080:RDT131083 RNN131080:RNP131083 RXJ131080:RXL131083 SHF131080:SHH131083 SRB131080:SRD131083 TAX131080:TAZ131083 TKT131080:TKV131083 TUP131080:TUR131083 UEL131080:UEN131083 UOH131080:UOJ131083 UYD131080:UYF131083 VHZ131080:VIB131083 VRV131080:VRX131083 WBR131080:WBT131083 WLN131080:WLP131083 WVJ131080:WVL131083 B196616:D196619 IX196616:IZ196619 ST196616:SV196619 ACP196616:ACR196619 AML196616:AMN196619 AWH196616:AWJ196619 BGD196616:BGF196619 BPZ196616:BQB196619 BZV196616:BZX196619 CJR196616:CJT196619 CTN196616:CTP196619 DDJ196616:DDL196619 DNF196616:DNH196619 DXB196616:DXD196619 EGX196616:EGZ196619 EQT196616:EQV196619 FAP196616:FAR196619 FKL196616:FKN196619 FUH196616:FUJ196619 GED196616:GEF196619 GNZ196616:GOB196619 GXV196616:GXX196619 HHR196616:HHT196619 HRN196616:HRP196619 IBJ196616:IBL196619 ILF196616:ILH196619 IVB196616:IVD196619 JEX196616:JEZ196619 JOT196616:JOV196619 JYP196616:JYR196619 KIL196616:KIN196619 KSH196616:KSJ196619 LCD196616:LCF196619 LLZ196616:LMB196619 LVV196616:LVX196619 MFR196616:MFT196619 MPN196616:MPP196619 MZJ196616:MZL196619 NJF196616:NJH196619 NTB196616:NTD196619 OCX196616:OCZ196619 OMT196616:OMV196619 OWP196616:OWR196619 PGL196616:PGN196619 PQH196616:PQJ196619 QAD196616:QAF196619 QJZ196616:QKB196619 QTV196616:QTX196619 RDR196616:RDT196619 RNN196616:RNP196619 RXJ196616:RXL196619 SHF196616:SHH196619 SRB196616:SRD196619 TAX196616:TAZ196619 TKT196616:TKV196619 TUP196616:TUR196619 UEL196616:UEN196619 UOH196616:UOJ196619 UYD196616:UYF196619 VHZ196616:VIB196619 VRV196616:VRX196619 WBR196616:WBT196619 WLN196616:WLP196619 WVJ196616:WVL196619 B262152:D262155 IX262152:IZ262155 ST262152:SV262155 ACP262152:ACR262155 AML262152:AMN262155 AWH262152:AWJ262155 BGD262152:BGF262155 BPZ262152:BQB262155 BZV262152:BZX262155 CJR262152:CJT262155 CTN262152:CTP262155 DDJ262152:DDL262155 DNF262152:DNH262155 DXB262152:DXD262155 EGX262152:EGZ262155 EQT262152:EQV262155 FAP262152:FAR262155 FKL262152:FKN262155 FUH262152:FUJ262155 GED262152:GEF262155 GNZ262152:GOB262155 GXV262152:GXX262155 HHR262152:HHT262155 HRN262152:HRP262155 IBJ262152:IBL262155 ILF262152:ILH262155 IVB262152:IVD262155 JEX262152:JEZ262155 JOT262152:JOV262155 JYP262152:JYR262155 KIL262152:KIN262155 KSH262152:KSJ262155 LCD262152:LCF262155 LLZ262152:LMB262155 LVV262152:LVX262155 MFR262152:MFT262155 MPN262152:MPP262155 MZJ262152:MZL262155 NJF262152:NJH262155 NTB262152:NTD262155 OCX262152:OCZ262155 OMT262152:OMV262155 OWP262152:OWR262155 PGL262152:PGN262155 PQH262152:PQJ262155 QAD262152:QAF262155 QJZ262152:QKB262155 QTV262152:QTX262155 RDR262152:RDT262155 RNN262152:RNP262155 RXJ262152:RXL262155 SHF262152:SHH262155 SRB262152:SRD262155 TAX262152:TAZ262155 TKT262152:TKV262155 TUP262152:TUR262155 UEL262152:UEN262155 UOH262152:UOJ262155 UYD262152:UYF262155 VHZ262152:VIB262155 VRV262152:VRX262155 WBR262152:WBT262155 WLN262152:WLP262155 WVJ262152:WVL262155 B327688:D327691 IX327688:IZ327691 ST327688:SV327691 ACP327688:ACR327691 AML327688:AMN327691 AWH327688:AWJ327691 BGD327688:BGF327691 BPZ327688:BQB327691 BZV327688:BZX327691 CJR327688:CJT327691 CTN327688:CTP327691 DDJ327688:DDL327691 DNF327688:DNH327691 DXB327688:DXD327691 EGX327688:EGZ327691 EQT327688:EQV327691 FAP327688:FAR327691 FKL327688:FKN327691 FUH327688:FUJ327691 GED327688:GEF327691 GNZ327688:GOB327691 GXV327688:GXX327691 HHR327688:HHT327691 HRN327688:HRP327691 IBJ327688:IBL327691 ILF327688:ILH327691 IVB327688:IVD327691 JEX327688:JEZ327691 JOT327688:JOV327691 JYP327688:JYR327691 KIL327688:KIN327691 KSH327688:KSJ327691 LCD327688:LCF327691 LLZ327688:LMB327691 LVV327688:LVX327691 MFR327688:MFT327691 MPN327688:MPP327691 MZJ327688:MZL327691 NJF327688:NJH327691 NTB327688:NTD327691 OCX327688:OCZ327691 OMT327688:OMV327691 OWP327688:OWR327691 PGL327688:PGN327691 PQH327688:PQJ327691 QAD327688:QAF327691 QJZ327688:QKB327691 QTV327688:QTX327691 RDR327688:RDT327691 RNN327688:RNP327691 RXJ327688:RXL327691 SHF327688:SHH327691 SRB327688:SRD327691 TAX327688:TAZ327691 TKT327688:TKV327691 TUP327688:TUR327691 UEL327688:UEN327691 UOH327688:UOJ327691 UYD327688:UYF327691 VHZ327688:VIB327691 VRV327688:VRX327691 WBR327688:WBT327691 WLN327688:WLP327691 WVJ327688:WVL327691 B393224:D393227 IX393224:IZ393227 ST393224:SV393227 ACP393224:ACR393227 AML393224:AMN393227 AWH393224:AWJ393227 BGD393224:BGF393227 BPZ393224:BQB393227 BZV393224:BZX393227 CJR393224:CJT393227 CTN393224:CTP393227 DDJ393224:DDL393227 DNF393224:DNH393227 DXB393224:DXD393227 EGX393224:EGZ393227 EQT393224:EQV393227 FAP393224:FAR393227 FKL393224:FKN393227 FUH393224:FUJ393227 GED393224:GEF393227 GNZ393224:GOB393227 GXV393224:GXX393227 HHR393224:HHT393227 HRN393224:HRP393227 IBJ393224:IBL393227 ILF393224:ILH393227 IVB393224:IVD393227 JEX393224:JEZ393227 JOT393224:JOV393227 JYP393224:JYR393227 KIL393224:KIN393227 KSH393224:KSJ393227 LCD393224:LCF393227 LLZ393224:LMB393227 LVV393224:LVX393227 MFR393224:MFT393227 MPN393224:MPP393227 MZJ393224:MZL393227 NJF393224:NJH393227 NTB393224:NTD393227 OCX393224:OCZ393227 OMT393224:OMV393227 OWP393224:OWR393227 PGL393224:PGN393227 PQH393224:PQJ393227 QAD393224:QAF393227 QJZ393224:QKB393227 QTV393224:QTX393227 RDR393224:RDT393227 RNN393224:RNP393227 RXJ393224:RXL393227 SHF393224:SHH393227 SRB393224:SRD393227 TAX393224:TAZ393227 TKT393224:TKV393227 TUP393224:TUR393227 UEL393224:UEN393227 UOH393224:UOJ393227 UYD393224:UYF393227 VHZ393224:VIB393227 VRV393224:VRX393227 WBR393224:WBT393227 WLN393224:WLP393227 WVJ393224:WVL393227 B458760:D458763 IX458760:IZ458763 ST458760:SV458763 ACP458760:ACR458763 AML458760:AMN458763 AWH458760:AWJ458763 BGD458760:BGF458763 BPZ458760:BQB458763 BZV458760:BZX458763 CJR458760:CJT458763 CTN458760:CTP458763 DDJ458760:DDL458763 DNF458760:DNH458763 DXB458760:DXD458763 EGX458760:EGZ458763 EQT458760:EQV458763 FAP458760:FAR458763 FKL458760:FKN458763 FUH458760:FUJ458763 GED458760:GEF458763 GNZ458760:GOB458763 GXV458760:GXX458763 HHR458760:HHT458763 HRN458760:HRP458763 IBJ458760:IBL458763 ILF458760:ILH458763 IVB458760:IVD458763 JEX458760:JEZ458763 JOT458760:JOV458763 JYP458760:JYR458763 KIL458760:KIN458763 KSH458760:KSJ458763 LCD458760:LCF458763 LLZ458760:LMB458763 LVV458760:LVX458763 MFR458760:MFT458763 MPN458760:MPP458763 MZJ458760:MZL458763 NJF458760:NJH458763 NTB458760:NTD458763 OCX458760:OCZ458763 OMT458760:OMV458763 OWP458760:OWR458763 PGL458760:PGN458763 PQH458760:PQJ458763 QAD458760:QAF458763 QJZ458760:QKB458763 QTV458760:QTX458763 RDR458760:RDT458763 RNN458760:RNP458763 RXJ458760:RXL458763 SHF458760:SHH458763 SRB458760:SRD458763 TAX458760:TAZ458763 TKT458760:TKV458763 TUP458760:TUR458763 UEL458760:UEN458763 UOH458760:UOJ458763 UYD458760:UYF458763 VHZ458760:VIB458763 VRV458760:VRX458763 WBR458760:WBT458763 WLN458760:WLP458763 WVJ458760:WVL458763 B524296:D524299 IX524296:IZ524299 ST524296:SV524299 ACP524296:ACR524299 AML524296:AMN524299 AWH524296:AWJ524299 BGD524296:BGF524299 BPZ524296:BQB524299 BZV524296:BZX524299 CJR524296:CJT524299 CTN524296:CTP524299 DDJ524296:DDL524299 DNF524296:DNH524299 DXB524296:DXD524299 EGX524296:EGZ524299 EQT524296:EQV524299 FAP524296:FAR524299 FKL524296:FKN524299 FUH524296:FUJ524299 GED524296:GEF524299 GNZ524296:GOB524299 GXV524296:GXX524299 HHR524296:HHT524299 HRN524296:HRP524299 IBJ524296:IBL524299 ILF524296:ILH524299 IVB524296:IVD524299 JEX524296:JEZ524299 JOT524296:JOV524299 JYP524296:JYR524299 KIL524296:KIN524299 KSH524296:KSJ524299 LCD524296:LCF524299 LLZ524296:LMB524299 LVV524296:LVX524299 MFR524296:MFT524299 MPN524296:MPP524299 MZJ524296:MZL524299 NJF524296:NJH524299 NTB524296:NTD524299 OCX524296:OCZ524299 OMT524296:OMV524299 OWP524296:OWR524299 PGL524296:PGN524299 PQH524296:PQJ524299 QAD524296:QAF524299 QJZ524296:QKB524299 QTV524296:QTX524299 RDR524296:RDT524299 RNN524296:RNP524299 RXJ524296:RXL524299 SHF524296:SHH524299 SRB524296:SRD524299 TAX524296:TAZ524299 TKT524296:TKV524299 TUP524296:TUR524299 UEL524296:UEN524299 UOH524296:UOJ524299 UYD524296:UYF524299 VHZ524296:VIB524299 VRV524296:VRX524299 WBR524296:WBT524299 WLN524296:WLP524299 WVJ524296:WVL524299 B589832:D589835 IX589832:IZ589835 ST589832:SV589835 ACP589832:ACR589835 AML589832:AMN589835 AWH589832:AWJ589835 BGD589832:BGF589835 BPZ589832:BQB589835 BZV589832:BZX589835 CJR589832:CJT589835 CTN589832:CTP589835 DDJ589832:DDL589835 DNF589832:DNH589835 DXB589832:DXD589835 EGX589832:EGZ589835 EQT589832:EQV589835 FAP589832:FAR589835 FKL589832:FKN589835 FUH589832:FUJ589835 GED589832:GEF589835 GNZ589832:GOB589835 GXV589832:GXX589835 HHR589832:HHT589835 HRN589832:HRP589835 IBJ589832:IBL589835 ILF589832:ILH589835 IVB589832:IVD589835 JEX589832:JEZ589835 JOT589832:JOV589835 JYP589832:JYR589835 KIL589832:KIN589835 KSH589832:KSJ589835 LCD589832:LCF589835 LLZ589832:LMB589835 LVV589832:LVX589835 MFR589832:MFT589835 MPN589832:MPP589835 MZJ589832:MZL589835 NJF589832:NJH589835 NTB589832:NTD589835 OCX589832:OCZ589835 OMT589832:OMV589835 OWP589832:OWR589835 PGL589832:PGN589835 PQH589832:PQJ589835 QAD589832:QAF589835 QJZ589832:QKB589835 QTV589832:QTX589835 RDR589832:RDT589835 RNN589832:RNP589835 RXJ589832:RXL589835 SHF589832:SHH589835 SRB589832:SRD589835 TAX589832:TAZ589835 TKT589832:TKV589835 TUP589832:TUR589835 UEL589832:UEN589835 UOH589832:UOJ589835 UYD589832:UYF589835 VHZ589832:VIB589835 VRV589832:VRX589835 WBR589832:WBT589835 WLN589832:WLP589835 WVJ589832:WVL589835 B655368:D655371 IX655368:IZ655371 ST655368:SV655371 ACP655368:ACR655371 AML655368:AMN655371 AWH655368:AWJ655371 BGD655368:BGF655371 BPZ655368:BQB655371 BZV655368:BZX655371 CJR655368:CJT655371 CTN655368:CTP655371 DDJ655368:DDL655371 DNF655368:DNH655371 DXB655368:DXD655371 EGX655368:EGZ655371 EQT655368:EQV655371 FAP655368:FAR655371 FKL655368:FKN655371 FUH655368:FUJ655371 GED655368:GEF655371 GNZ655368:GOB655371 GXV655368:GXX655371 HHR655368:HHT655371 HRN655368:HRP655371 IBJ655368:IBL655371 ILF655368:ILH655371 IVB655368:IVD655371 JEX655368:JEZ655371 JOT655368:JOV655371 JYP655368:JYR655371 KIL655368:KIN655371 KSH655368:KSJ655371 LCD655368:LCF655371 LLZ655368:LMB655371 LVV655368:LVX655371 MFR655368:MFT655371 MPN655368:MPP655371 MZJ655368:MZL655371 NJF655368:NJH655371 NTB655368:NTD655371 OCX655368:OCZ655371 OMT655368:OMV655371 OWP655368:OWR655371 PGL655368:PGN655371 PQH655368:PQJ655371 QAD655368:QAF655371 QJZ655368:QKB655371 QTV655368:QTX655371 RDR655368:RDT655371 RNN655368:RNP655371 RXJ655368:RXL655371 SHF655368:SHH655371 SRB655368:SRD655371 TAX655368:TAZ655371 TKT655368:TKV655371 TUP655368:TUR655371 UEL655368:UEN655371 UOH655368:UOJ655371 UYD655368:UYF655371 VHZ655368:VIB655371 VRV655368:VRX655371 WBR655368:WBT655371 WLN655368:WLP655371 WVJ655368:WVL655371 B720904:D720907 IX720904:IZ720907 ST720904:SV720907 ACP720904:ACR720907 AML720904:AMN720907 AWH720904:AWJ720907 BGD720904:BGF720907 BPZ720904:BQB720907 BZV720904:BZX720907 CJR720904:CJT720907 CTN720904:CTP720907 DDJ720904:DDL720907 DNF720904:DNH720907 DXB720904:DXD720907 EGX720904:EGZ720907 EQT720904:EQV720907 FAP720904:FAR720907 FKL720904:FKN720907 FUH720904:FUJ720907 GED720904:GEF720907 GNZ720904:GOB720907 GXV720904:GXX720907 HHR720904:HHT720907 HRN720904:HRP720907 IBJ720904:IBL720907 ILF720904:ILH720907 IVB720904:IVD720907 JEX720904:JEZ720907 JOT720904:JOV720907 JYP720904:JYR720907 KIL720904:KIN720907 KSH720904:KSJ720907 LCD720904:LCF720907 LLZ720904:LMB720907 LVV720904:LVX720907 MFR720904:MFT720907 MPN720904:MPP720907 MZJ720904:MZL720907 NJF720904:NJH720907 NTB720904:NTD720907 OCX720904:OCZ720907 OMT720904:OMV720907 OWP720904:OWR720907 PGL720904:PGN720907 PQH720904:PQJ720907 QAD720904:QAF720907 QJZ720904:QKB720907 QTV720904:QTX720907 RDR720904:RDT720907 RNN720904:RNP720907 RXJ720904:RXL720907 SHF720904:SHH720907 SRB720904:SRD720907 TAX720904:TAZ720907 TKT720904:TKV720907 TUP720904:TUR720907 UEL720904:UEN720907 UOH720904:UOJ720907 UYD720904:UYF720907 VHZ720904:VIB720907 VRV720904:VRX720907 WBR720904:WBT720907 WLN720904:WLP720907 WVJ720904:WVL720907 B786440:D786443 IX786440:IZ786443 ST786440:SV786443 ACP786440:ACR786443 AML786440:AMN786443 AWH786440:AWJ786443 BGD786440:BGF786443 BPZ786440:BQB786443 BZV786440:BZX786443 CJR786440:CJT786443 CTN786440:CTP786443 DDJ786440:DDL786443 DNF786440:DNH786443 DXB786440:DXD786443 EGX786440:EGZ786443 EQT786440:EQV786443 FAP786440:FAR786443 FKL786440:FKN786443 FUH786440:FUJ786443 GED786440:GEF786443 GNZ786440:GOB786443 GXV786440:GXX786443 HHR786440:HHT786443 HRN786440:HRP786443 IBJ786440:IBL786443 ILF786440:ILH786443 IVB786440:IVD786443 JEX786440:JEZ786443 JOT786440:JOV786443 JYP786440:JYR786443 KIL786440:KIN786443 KSH786440:KSJ786443 LCD786440:LCF786443 LLZ786440:LMB786443 LVV786440:LVX786443 MFR786440:MFT786443 MPN786440:MPP786443 MZJ786440:MZL786443 NJF786440:NJH786443 NTB786440:NTD786443 OCX786440:OCZ786443 OMT786440:OMV786443 OWP786440:OWR786443 PGL786440:PGN786443 PQH786440:PQJ786443 QAD786440:QAF786443 QJZ786440:QKB786443 QTV786440:QTX786443 RDR786440:RDT786443 RNN786440:RNP786443 RXJ786440:RXL786443 SHF786440:SHH786443 SRB786440:SRD786443 TAX786440:TAZ786443 TKT786440:TKV786443 TUP786440:TUR786443 UEL786440:UEN786443 UOH786440:UOJ786443 UYD786440:UYF786443 VHZ786440:VIB786443 VRV786440:VRX786443 WBR786440:WBT786443 WLN786440:WLP786443 WVJ786440:WVL786443 B851976:D851979 IX851976:IZ851979 ST851976:SV851979 ACP851976:ACR851979 AML851976:AMN851979 AWH851976:AWJ851979 BGD851976:BGF851979 BPZ851976:BQB851979 BZV851976:BZX851979 CJR851976:CJT851979 CTN851976:CTP851979 DDJ851976:DDL851979 DNF851976:DNH851979 DXB851976:DXD851979 EGX851976:EGZ851979 EQT851976:EQV851979 FAP851976:FAR851979 FKL851976:FKN851979 FUH851976:FUJ851979 GED851976:GEF851979 GNZ851976:GOB851979 GXV851976:GXX851979 HHR851976:HHT851979 HRN851976:HRP851979 IBJ851976:IBL851979 ILF851976:ILH851979 IVB851976:IVD851979 JEX851976:JEZ851979 JOT851976:JOV851979 JYP851976:JYR851979 KIL851976:KIN851979 KSH851976:KSJ851979 LCD851976:LCF851979 LLZ851976:LMB851979 LVV851976:LVX851979 MFR851976:MFT851979 MPN851976:MPP851979 MZJ851976:MZL851979 NJF851976:NJH851979 NTB851976:NTD851979 OCX851976:OCZ851979 OMT851976:OMV851979 OWP851976:OWR851979 PGL851976:PGN851979 PQH851976:PQJ851979 QAD851976:QAF851979 QJZ851976:QKB851979 QTV851976:QTX851979 RDR851976:RDT851979 RNN851976:RNP851979 RXJ851976:RXL851979 SHF851976:SHH851979 SRB851976:SRD851979 TAX851976:TAZ851979 TKT851976:TKV851979 TUP851976:TUR851979 UEL851976:UEN851979 UOH851976:UOJ851979 UYD851976:UYF851979 VHZ851976:VIB851979 VRV851976:VRX851979 WBR851976:WBT851979 WLN851976:WLP851979 WVJ851976:WVL851979 B917512:D917515 IX917512:IZ917515 ST917512:SV917515 ACP917512:ACR917515 AML917512:AMN917515 AWH917512:AWJ917515 BGD917512:BGF917515 BPZ917512:BQB917515 BZV917512:BZX917515 CJR917512:CJT917515 CTN917512:CTP917515 DDJ917512:DDL917515 DNF917512:DNH917515 DXB917512:DXD917515 EGX917512:EGZ917515 EQT917512:EQV917515 FAP917512:FAR917515 FKL917512:FKN917515 FUH917512:FUJ917515 GED917512:GEF917515 GNZ917512:GOB917515 GXV917512:GXX917515 HHR917512:HHT917515 HRN917512:HRP917515 IBJ917512:IBL917515 ILF917512:ILH917515 IVB917512:IVD917515 JEX917512:JEZ917515 JOT917512:JOV917515 JYP917512:JYR917515 KIL917512:KIN917515 KSH917512:KSJ917515 LCD917512:LCF917515 LLZ917512:LMB917515 LVV917512:LVX917515 MFR917512:MFT917515 MPN917512:MPP917515 MZJ917512:MZL917515 NJF917512:NJH917515 NTB917512:NTD917515 OCX917512:OCZ917515 OMT917512:OMV917515 OWP917512:OWR917515 PGL917512:PGN917515 PQH917512:PQJ917515 QAD917512:QAF917515 QJZ917512:QKB917515 QTV917512:QTX917515 RDR917512:RDT917515 RNN917512:RNP917515 RXJ917512:RXL917515 SHF917512:SHH917515 SRB917512:SRD917515 TAX917512:TAZ917515 TKT917512:TKV917515 TUP917512:TUR917515 UEL917512:UEN917515 UOH917512:UOJ917515 UYD917512:UYF917515 VHZ917512:VIB917515 VRV917512:VRX917515 WBR917512:WBT917515 WLN917512:WLP917515 WVJ917512:WVL917515 B983048:D983051 IX983048:IZ983051 ST983048:SV983051 ACP983048:ACR983051 AML983048:AMN983051 AWH983048:AWJ983051 BGD983048:BGF983051 BPZ983048:BQB983051 BZV983048:BZX983051 CJR983048:CJT983051 CTN983048:CTP983051 DDJ983048:DDL983051 DNF983048:DNH983051 DXB983048:DXD983051 EGX983048:EGZ983051 EQT983048:EQV983051 FAP983048:FAR983051 FKL983048:FKN983051 FUH983048:FUJ983051 GED983048:GEF983051 GNZ983048:GOB983051 GXV983048:GXX983051 HHR983048:HHT983051 HRN983048:HRP983051 IBJ983048:IBL983051 ILF983048:ILH983051 IVB983048:IVD983051 JEX983048:JEZ983051 JOT983048:JOV983051 JYP983048:JYR983051 KIL983048:KIN983051 KSH983048:KSJ983051 LCD983048:LCF983051 LLZ983048:LMB983051 LVV983048:LVX983051 MFR983048:MFT983051 MPN983048:MPP983051 MZJ983048:MZL983051 NJF983048:NJH983051 NTB983048:NTD983051 OCX983048:OCZ983051 OMT983048:OMV983051 OWP983048:OWR983051 PGL983048:PGN983051 PQH983048:PQJ983051 QAD983048:QAF983051 QJZ983048:QKB983051 QTV983048:QTX983051 RDR983048:RDT983051 RNN983048:RNP983051 RXJ983048:RXL983051 SHF983048:SHH983051 SRB983048:SRD983051 TAX983048:TAZ983051 TKT983048:TKV983051 TUP983048:TUR983051 UEL983048:UEN983051 UOH983048:UOJ983051 UYD983048:UYF983051 VHZ983048:VIB983051 VRV983048:VRX983051 WBR983048:WBT983051 WLN983048:WLP983051 WVJ983048:WVL983051">
      <formula1>$AM$2</formula1>
    </dataValidation>
  </dataValidations>
  <pageMargins left="0.6692913385826772" right="0.27559055118110237" top="0.39370078740157483" bottom="0.35433070866141736" header="0.31496062992125984" footer="0.31496062992125984"/>
  <pageSetup paperSize="9" scale="99" fitToWidth="1" fitToHeight="1" orientation="portrait" usePrinterDefaults="1" r:id="rId1"/>
  <headerFooter alignWithMargins="0"/>
  <rowBreaks count="1" manualBreakCount="1">
    <brk id="3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25"/>
  <sheetViews>
    <sheetView view="pageBreakPreview" topLeftCell="A22" zoomScaleNormal="50" zoomScaleSheetLayoutView="100" workbookViewId="0">
      <selection activeCell="F30" sqref="F30"/>
    </sheetView>
  </sheetViews>
  <sheetFormatPr defaultColWidth="8.75" defaultRowHeight="13.5"/>
  <cols>
    <col min="1" max="1" width="12.75" style="21" customWidth="1"/>
    <col min="2" max="2" width="4.25" style="21" customWidth="1"/>
    <col min="3" max="3" width="29.25" style="21" customWidth="1"/>
    <col min="4" max="4" width="65.75" style="22" customWidth="1"/>
    <col min="5" max="16384" width="8.75" style="23"/>
  </cols>
  <sheetData>
    <row r="1" spans="1:4" ht="20.25" customHeight="1">
      <c r="C1" s="32" t="s">
        <v>858</v>
      </c>
      <c r="D1" s="36"/>
    </row>
    <row r="2" spans="1:4" ht="20.25" customHeight="1"/>
    <row r="3" spans="1:4" s="24" customFormat="1" ht="31.9" customHeight="1">
      <c r="A3" s="26" t="s">
        <v>125</v>
      </c>
      <c r="B3" s="26"/>
      <c r="C3" s="26" t="s">
        <v>344</v>
      </c>
      <c r="D3" s="37" t="s">
        <v>456</v>
      </c>
    </row>
    <row r="4" spans="1:4" s="25" customFormat="1" ht="45" customHeight="1">
      <c r="A4" s="27" t="s">
        <v>664</v>
      </c>
      <c r="B4" s="28"/>
      <c r="C4" s="33" t="s">
        <v>668</v>
      </c>
      <c r="D4" s="38"/>
    </row>
    <row r="5" spans="1:4" s="25" customFormat="1" ht="45" customHeight="1">
      <c r="A5" s="27"/>
      <c r="B5" s="31"/>
      <c r="C5" s="33" t="s">
        <v>234</v>
      </c>
      <c r="D5" s="38"/>
    </row>
    <row r="6" spans="1:4" s="25" customFormat="1" ht="45" customHeight="1">
      <c r="A6" s="27"/>
      <c r="B6" s="31"/>
      <c r="C6" s="33" t="s">
        <v>676</v>
      </c>
      <c r="D6" s="38"/>
    </row>
    <row r="7" spans="1:4" s="25" customFormat="1" ht="45" customHeight="1">
      <c r="A7" s="27"/>
      <c r="B7" s="31"/>
      <c r="C7" s="33" t="s">
        <v>675</v>
      </c>
      <c r="D7" s="38" t="s">
        <v>674</v>
      </c>
    </row>
    <row r="8" spans="1:4" s="25" customFormat="1" ht="45" customHeight="1">
      <c r="A8" s="27"/>
      <c r="B8" s="31"/>
      <c r="C8" s="33" t="s">
        <v>673</v>
      </c>
      <c r="D8" s="38"/>
    </row>
    <row r="9" spans="1:4" s="25" customFormat="1" ht="45" customHeight="1">
      <c r="A9" s="28" t="s">
        <v>481</v>
      </c>
      <c r="B9" s="28"/>
      <c r="C9" s="33" t="s">
        <v>481</v>
      </c>
      <c r="D9" s="38"/>
    </row>
    <row r="10" spans="1:4" s="25" customFormat="1" ht="45" customHeight="1">
      <c r="A10" s="29"/>
      <c r="B10" s="29"/>
      <c r="C10" s="33" t="s">
        <v>672</v>
      </c>
      <c r="D10" s="39" t="s">
        <v>670</v>
      </c>
    </row>
    <row r="11" spans="1:4" s="25" customFormat="1" ht="45" customHeight="1">
      <c r="A11" s="30" t="s">
        <v>417</v>
      </c>
      <c r="B11" s="30" t="s">
        <v>354</v>
      </c>
      <c r="C11" s="34" t="s">
        <v>27</v>
      </c>
      <c r="D11" s="40" t="s">
        <v>669</v>
      </c>
    </row>
    <row r="12" spans="1:4" s="25" customFormat="1" ht="45" customHeight="1">
      <c r="A12" s="30"/>
      <c r="B12" s="30" t="s">
        <v>356</v>
      </c>
      <c r="C12" s="34" t="s">
        <v>678</v>
      </c>
      <c r="D12" s="40" t="s">
        <v>651</v>
      </c>
    </row>
    <row r="13" spans="1:4" s="25" customFormat="1" ht="45" customHeight="1">
      <c r="A13" s="30"/>
      <c r="B13" s="30" t="s">
        <v>265</v>
      </c>
      <c r="C13" s="34" t="s">
        <v>374</v>
      </c>
      <c r="D13" s="40" t="s">
        <v>679</v>
      </c>
    </row>
    <row r="14" spans="1:4" s="25" customFormat="1" ht="45" customHeight="1">
      <c r="A14" s="30"/>
      <c r="B14" s="30" t="s">
        <v>343</v>
      </c>
      <c r="C14" s="34" t="s">
        <v>680</v>
      </c>
      <c r="D14" s="40" t="s">
        <v>681</v>
      </c>
    </row>
    <row r="15" spans="1:4" s="25" customFormat="1" ht="45" customHeight="1">
      <c r="A15" s="30"/>
      <c r="B15" s="30" t="s">
        <v>358</v>
      </c>
      <c r="C15" s="34" t="s">
        <v>683</v>
      </c>
      <c r="D15" s="40" t="s">
        <v>687</v>
      </c>
    </row>
    <row r="16" spans="1:4" s="25" customFormat="1" ht="45" customHeight="1">
      <c r="A16" s="30"/>
      <c r="B16" s="30" t="s">
        <v>360</v>
      </c>
      <c r="C16" s="34" t="s">
        <v>684</v>
      </c>
      <c r="D16" s="40" t="s">
        <v>465</v>
      </c>
    </row>
    <row r="17" spans="1:4" s="25" customFormat="1" ht="45" customHeight="1">
      <c r="A17" s="30"/>
      <c r="B17" s="30" t="s">
        <v>362</v>
      </c>
      <c r="C17" s="34" t="s">
        <v>306</v>
      </c>
      <c r="D17" s="40" t="s">
        <v>686</v>
      </c>
    </row>
    <row r="18" spans="1:4" s="25" customFormat="1" ht="45" customHeight="1">
      <c r="A18" s="30"/>
      <c r="B18" s="30" t="s">
        <v>366</v>
      </c>
      <c r="C18" s="34" t="s">
        <v>633</v>
      </c>
      <c r="D18" s="40" t="s">
        <v>691</v>
      </c>
    </row>
    <row r="19" spans="1:4" s="25" customFormat="1" ht="45" customHeight="1">
      <c r="A19" s="30"/>
      <c r="B19" s="30" t="s">
        <v>367</v>
      </c>
      <c r="C19" s="34" t="s">
        <v>685</v>
      </c>
      <c r="D19" s="40" t="s">
        <v>308</v>
      </c>
    </row>
    <row r="20" spans="1:4" s="25" customFormat="1" ht="45" customHeight="1">
      <c r="A20" s="30"/>
      <c r="B20" s="30" t="s">
        <v>368</v>
      </c>
      <c r="C20" s="34" t="s">
        <v>590</v>
      </c>
      <c r="D20" s="40" t="s">
        <v>689</v>
      </c>
    </row>
    <row r="21" spans="1:4" s="25" customFormat="1" ht="45" customHeight="1">
      <c r="A21" s="30"/>
      <c r="B21" s="30" t="s">
        <v>701</v>
      </c>
      <c r="C21" s="34" t="s">
        <v>351</v>
      </c>
      <c r="D21" s="40" t="s">
        <v>692</v>
      </c>
    </row>
    <row r="22" spans="1:4" s="25" customFormat="1" ht="45" customHeight="1">
      <c r="A22" s="30"/>
      <c r="B22" s="30" t="s">
        <v>702</v>
      </c>
      <c r="C22" s="34" t="s">
        <v>110</v>
      </c>
      <c r="D22" s="40" t="s">
        <v>694</v>
      </c>
    </row>
    <row r="23" spans="1:4" s="25" customFormat="1" ht="45" customHeight="1">
      <c r="A23" s="30"/>
      <c r="B23" s="30" t="s">
        <v>704</v>
      </c>
      <c r="C23" s="34" t="s">
        <v>416</v>
      </c>
      <c r="D23" s="40" t="s">
        <v>695</v>
      </c>
    </row>
    <row r="24" spans="1:4" s="25" customFormat="1" ht="45" customHeight="1">
      <c r="A24" s="30" t="s">
        <v>166</v>
      </c>
      <c r="B24" s="30"/>
      <c r="C24" s="34" t="s">
        <v>700</v>
      </c>
      <c r="D24" s="40" t="s">
        <v>705</v>
      </c>
    </row>
    <row r="25" spans="1:4" s="25" customFormat="1" ht="45" customHeight="1">
      <c r="A25" s="27" t="s">
        <v>696</v>
      </c>
      <c r="B25" s="27"/>
      <c r="C25" s="35" t="s">
        <v>696</v>
      </c>
      <c r="D25" s="39" t="s">
        <v>99</v>
      </c>
    </row>
  </sheetData>
  <mergeCells count="4">
    <mergeCell ref="C1:D1"/>
    <mergeCell ref="A4:A8"/>
    <mergeCell ref="A9:A10"/>
    <mergeCell ref="A11:A23"/>
  </mergeCells>
  <phoneticPr fontId="5"/>
  <pageMargins left="0.7" right="0.7" top="0.75" bottom="0.75" header="0.3" footer="0.3"/>
  <pageSetup paperSize="9" scale="76" fitToWidth="1" fitToHeight="1" orientation="portrait"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O47"/>
  <sheetViews>
    <sheetView view="pageBreakPreview" zoomScaleNormal="85" zoomScaleSheetLayoutView="100" workbookViewId="0">
      <selection activeCell="AO5" sqref="AO5"/>
    </sheetView>
  </sheetViews>
  <sheetFormatPr defaultColWidth="8" defaultRowHeight="12"/>
  <cols>
    <col min="1" max="1" width="3.125" style="1083" customWidth="1"/>
    <col min="2" max="11" width="2.375" style="1083" customWidth="1"/>
    <col min="12" max="12" width="2.25" style="1083" customWidth="1"/>
    <col min="13" max="34" width="2.375" style="1083" customWidth="1"/>
    <col min="35" max="35" width="7.375" style="1083" customWidth="1"/>
    <col min="36" max="38" width="2.375" style="1083" customWidth="1"/>
    <col min="39" max="39" width="4.75" style="1083" customWidth="1"/>
    <col min="40" max="40" width="2.375" style="1083" customWidth="1"/>
    <col min="41" max="41" width="5.375" style="1083" customWidth="1"/>
    <col min="42" max="76" width="2.375" style="1083" customWidth="1"/>
    <col min="77" max="256" width="8" style="1083"/>
    <col min="257" max="257" width="3.125" style="1083" customWidth="1"/>
    <col min="258" max="267" width="2.375" style="1083" customWidth="1"/>
    <col min="268" max="268" width="2.25" style="1083" customWidth="1"/>
    <col min="269" max="290" width="2.375" style="1083" customWidth="1"/>
    <col min="291" max="291" width="7.375" style="1083" customWidth="1"/>
    <col min="292" max="294" width="2.375" style="1083" customWidth="1"/>
    <col min="295" max="295" width="4.75" style="1083" customWidth="1"/>
    <col min="296" max="296" width="2.375" style="1083" customWidth="1"/>
    <col min="297" max="297" width="5.375" style="1083" customWidth="1"/>
    <col min="298" max="332" width="2.375" style="1083" customWidth="1"/>
    <col min="333" max="512" width="8" style="1083"/>
    <col min="513" max="513" width="3.125" style="1083" customWidth="1"/>
    <col min="514" max="523" width="2.375" style="1083" customWidth="1"/>
    <col min="524" max="524" width="2.25" style="1083" customWidth="1"/>
    <col min="525" max="546" width="2.375" style="1083" customWidth="1"/>
    <col min="547" max="547" width="7.375" style="1083" customWidth="1"/>
    <col min="548" max="550" width="2.375" style="1083" customWidth="1"/>
    <col min="551" max="551" width="4.75" style="1083" customWidth="1"/>
    <col min="552" max="552" width="2.375" style="1083" customWidth="1"/>
    <col min="553" max="553" width="5.375" style="1083" customWidth="1"/>
    <col min="554" max="588" width="2.375" style="1083" customWidth="1"/>
    <col min="589" max="768" width="8" style="1083"/>
    <col min="769" max="769" width="3.125" style="1083" customWidth="1"/>
    <col min="770" max="779" width="2.375" style="1083" customWidth="1"/>
    <col min="780" max="780" width="2.25" style="1083" customWidth="1"/>
    <col min="781" max="802" width="2.375" style="1083" customWidth="1"/>
    <col min="803" max="803" width="7.375" style="1083" customWidth="1"/>
    <col min="804" max="806" width="2.375" style="1083" customWidth="1"/>
    <col min="807" max="807" width="4.75" style="1083" customWidth="1"/>
    <col min="808" max="808" width="2.375" style="1083" customWidth="1"/>
    <col min="809" max="809" width="5.375" style="1083" customWidth="1"/>
    <col min="810" max="844" width="2.375" style="1083" customWidth="1"/>
    <col min="845" max="1024" width="8" style="1083"/>
    <col min="1025" max="1025" width="3.125" style="1083" customWidth="1"/>
    <col min="1026" max="1035" width="2.375" style="1083" customWidth="1"/>
    <col min="1036" max="1036" width="2.25" style="1083" customWidth="1"/>
    <col min="1037" max="1058" width="2.375" style="1083" customWidth="1"/>
    <col min="1059" max="1059" width="7.375" style="1083" customWidth="1"/>
    <col min="1060" max="1062" width="2.375" style="1083" customWidth="1"/>
    <col min="1063" max="1063" width="4.75" style="1083" customWidth="1"/>
    <col min="1064" max="1064" width="2.375" style="1083" customWidth="1"/>
    <col min="1065" max="1065" width="5.375" style="1083" customWidth="1"/>
    <col min="1066" max="1100" width="2.375" style="1083" customWidth="1"/>
    <col min="1101" max="1280" width="8" style="1083"/>
    <col min="1281" max="1281" width="3.125" style="1083" customWidth="1"/>
    <col min="1282" max="1291" width="2.375" style="1083" customWidth="1"/>
    <col min="1292" max="1292" width="2.25" style="1083" customWidth="1"/>
    <col min="1293" max="1314" width="2.375" style="1083" customWidth="1"/>
    <col min="1315" max="1315" width="7.375" style="1083" customWidth="1"/>
    <col min="1316" max="1318" width="2.375" style="1083" customWidth="1"/>
    <col min="1319" max="1319" width="4.75" style="1083" customWidth="1"/>
    <col min="1320" max="1320" width="2.375" style="1083" customWidth="1"/>
    <col min="1321" max="1321" width="5.375" style="1083" customWidth="1"/>
    <col min="1322" max="1356" width="2.375" style="1083" customWidth="1"/>
    <col min="1357" max="1536" width="8" style="1083"/>
    <col min="1537" max="1537" width="3.125" style="1083" customWidth="1"/>
    <col min="1538" max="1547" width="2.375" style="1083" customWidth="1"/>
    <col min="1548" max="1548" width="2.25" style="1083" customWidth="1"/>
    <col min="1549" max="1570" width="2.375" style="1083" customWidth="1"/>
    <col min="1571" max="1571" width="7.375" style="1083" customWidth="1"/>
    <col min="1572" max="1574" width="2.375" style="1083" customWidth="1"/>
    <col min="1575" max="1575" width="4.75" style="1083" customWidth="1"/>
    <col min="1576" max="1576" width="2.375" style="1083" customWidth="1"/>
    <col min="1577" max="1577" width="5.375" style="1083" customWidth="1"/>
    <col min="1578" max="1612" width="2.375" style="1083" customWidth="1"/>
    <col min="1613" max="1792" width="8" style="1083"/>
    <col min="1793" max="1793" width="3.125" style="1083" customWidth="1"/>
    <col min="1794" max="1803" width="2.375" style="1083" customWidth="1"/>
    <col min="1804" max="1804" width="2.25" style="1083" customWidth="1"/>
    <col min="1805" max="1826" width="2.375" style="1083" customWidth="1"/>
    <col min="1827" max="1827" width="7.375" style="1083" customWidth="1"/>
    <col min="1828" max="1830" width="2.375" style="1083" customWidth="1"/>
    <col min="1831" max="1831" width="4.75" style="1083" customWidth="1"/>
    <col min="1832" max="1832" width="2.375" style="1083" customWidth="1"/>
    <col min="1833" max="1833" width="5.375" style="1083" customWidth="1"/>
    <col min="1834" max="1868" width="2.375" style="1083" customWidth="1"/>
    <col min="1869" max="2048" width="8" style="1083"/>
    <col min="2049" max="2049" width="3.125" style="1083" customWidth="1"/>
    <col min="2050" max="2059" width="2.375" style="1083" customWidth="1"/>
    <col min="2060" max="2060" width="2.25" style="1083" customWidth="1"/>
    <col min="2061" max="2082" width="2.375" style="1083" customWidth="1"/>
    <col min="2083" max="2083" width="7.375" style="1083" customWidth="1"/>
    <col min="2084" max="2086" width="2.375" style="1083" customWidth="1"/>
    <col min="2087" max="2087" width="4.75" style="1083" customWidth="1"/>
    <col min="2088" max="2088" width="2.375" style="1083" customWidth="1"/>
    <col min="2089" max="2089" width="5.375" style="1083" customWidth="1"/>
    <col min="2090" max="2124" width="2.375" style="1083" customWidth="1"/>
    <col min="2125" max="2304" width="8" style="1083"/>
    <col min="2305" max="2305" width="3.125" style="1083" customWidth="1"/>
    <col min="2306" max="2315" width="2.375" style="1083" customWidth="1"/>
    <col min="2316" max="2316" width="2.25" style="1083" customWidth="1"/>
    <col min="2317" max="2338" width="2.375" style="1083" customWidth="1"/>
    <col min="2339" max="2339" width="7.375" style="1083" customWidth="1"/>
    <col min="2340" max="2342" width="2.375" style="1083" customWidth="1"/>
    <col min="2343" max="2343" width="4.75" style="1083" customWidth="1"/>
    <col min="2344" max="2344" width="2.375" style="1083" customWidth="1"/>
    <col min="2345" max="2345" width="5.375" style="1083" customWidth="1"/>
    <col min="2346" max="2380" width="2.375" style="1083" customWidth="1"/>
    <col min="2381" max="2560" width="8" style="1083"/>
    <col min="2561" max="2561" width="3.125" style="1083" customWidth="1"/>
    <col min="2562" max="2571" width="2.375" style="1083" customWidth="1"/>
    <col min="2572" max="2572" width="2.25" style="1083" customWidth="1"/>
    <col min="2573" max="2594" width="2.375" style="1083" customWidth="1"/>
    <col min="2595" max="2595" width="7.375" style="1083" customWidth="1"/>
    <col min="2596" max="2598" width="2.375" style="1083" customWidth="1"/>
    <col min="2599" max="2599" width="4.75" style="1083" customWidth="1"/>
    <col min="2600" max="2600" width="2.375" style="1083" customWidth="1"/>
    <col min="2601" max="2601" width="5.375" style="1083" customWidth="1"/>
    <col min="2602" max="2636" width="2.375" style="1083" customWidth="1"/>
    <col min="2637" max="2816" width="8" style="1083"/>
    <col min="2817" max="2817" width="3.125" style="1083" customWidth="1"/>
    <col min="2818" max="2827" width="2.375" style="1083" customWidth="1"/>
    <col min="2828" max="2828" width="2.25" style="1083" customWidth="1"/>
    <col min="2829" max="2850" width="2.375" style="1083" customWidth="1"/>
    <col min="2851" max="2851" width="7.375" style="1083" customWidth="1"/>
    <col min="2852" max="2854" width="2.375" style="1083" customWidth="1"/>
    <col min="2855" max="2855" width="4.75" style="1083" customWidth="1"/>
    <col min="2856" max="2856" width="2.375" style="1083" customWidth="1"/>
    <col min="2857" max="2857" width="5.375" style="1083" customWidth="1"/>
    <col min="2858" max="2892" width="2.375" style="1083" customWidth="1"/>
    <col min="2893" max="3072" width="8" style="1083"/>
    <col min="3073" max="3073" width="3.125" style="1083" customWidth="1"/>
    <col min="3074" max="3083" width="2.375" style="1083" customWidth="1"/>
    <col min="3084" max="3084" width="2.25" style="1083" customWidth="1"/>
    <col min="3085" max="3106" width="2.375" style="1083" customWidth="1"/>
    <col min="3107" max="3107" width="7.375" style="1083" customWidth="1"/>
    <col min="3108" max="3110" width="2.375" style="1083" customWidth="1"/>
    <col min="3111" max="3111" width="4.75" style="1083" customWidth="1"/>
    <col min="3112" max="3112" width="2.375" style="1083" customWidth="1"/>
    <col min="3113" max="3113" width="5.375" style="1083" customWidth="1"/>
    <col min="3114" max="3148" width="2.375" style="1083" customWidth="1"/>
    <col min="3149" max="3328" width="8" style="1083"/>
    <col min="3329" max="3329" width="3.125" style="1083" customWidth="1"/>
    <col min="3330" max="3339" width="2.375" style="1083" customWidth="1"/>
    <col min="3340" max="3340" width="2.25" style="1083" customWidth="1"/>
    <col min="3341" max="3362" width="2.375" style="1083" customWidth="1"/>
    <col min="3363" max="3363" width="7.375" style="1083" customWidth="1"/>
    <col min="3364" max="3366" width="2.375" style="1083" customWidth="1"/>
    <col min="3367" max="3367" width="4.75" style="1083" customWidth="1"/>
    <col min="3368" max="3368" width="2.375" style="1083" customWidth="1"/>
    <col min="3369" max="3369" width="5.375" style="1083" customWidth="1"/>
    <col min="3370" max="3404" width="2.375" style="1083" customWidth="1"/>
    <col min="3405" max="3584" width="8" style="1083"/>
    <col min="3585" max="3585" width="3.125" style="1083" customWidth="1"/>
    <col min="3586" max="3595" width="2.375" style="1083" customWidth="1"/>
    <col min="3596" max="3596" width="2.25" style="1083" customWidth="1"/>
    <col min="3597" max="3618" width="2.375" style="1083" customWidth="1"/>
    <col min="3619" max="3619" width="7.375" style="1083" customWidth="1"/>
    <col min="3620" max="3622" width="2.375" style="1083" customWidth="1"/>
    <col min="3623" max="3623" width="4.75" style="1083" customWidth="1"/>
    <col min="3624" max="3624" width="2.375" style="1083" customWidth="1"/>
    <col min="3625" max="3625" width="5.375" style="1083" customWidth="1"/>
    <col min="3626" max="3660" width="2.375" style="1083" customWidth="1"/>
    <col min="3661" max="3840" width="8" style="1083"/>
    <col min="3841" max="3841" width="3.125" style="1083" customWidth="1"/>
    <col min="3842" max="3851" width="2.375" style="1083" customWidth="1"/>
    <col min="3852" max="3852" width="2.25" style="1083" customWidth="1"/>
    <col min="3853" max="3874" width="2.375" style="1083" customWidth="1"/>
    <col min="3875" max="3875" width="7.375" style="1083" customWidth="1"/>
    <col min="3876" max="3878" width="2.375" style="1083" customWidth="1"/>
    <col min="3879" max="3879" width="4.75" style="1083" customWidth="1"/>
    <col min="3880" max="3880" width="2.375" style="1083" customWidth="1"/>
    <col min="3881" max="3881" width="5.375" style="1083" customWidth="1"/>
    <col min="3882" max="3916" width="2.375" style="1083" customWidth="1"/>
    <col min="3917" max="4096" width="8" style="1083"/>
    <col min="4097" max="4097" width="3.125" style="1083" customWidth="1"/>
    <col min="4098" max="4107" width="2.375" style="1083" customWidth="1"/>
    <col min="4108" max="4108" width="2.25" style="1083" customWidth="1"/>
    <col min="4109" max="4130" width="2.375" style="1083" customWidth="1"/>
    <col min="4131" max="4131" width="7.375" style="1083" customWidth="1"/>
    <col min="4132" max="4134" width="2.375" style="1083" customWidth="1"/>
    <col min="4135" max="4135" width="4.75" style="1083" customWidth="1"/>
    <col min="4136" max="4136" width="2.375" style="1083" customWidth="1"/>
    <col min="4137" max="4137" width="5.375" style="1083" customWidth="1"/>
    <col min="4138" max="4172" width="2.375" style="1083" customWidth="1"/>
    <col min="4173" max="4352" width="8" style="1083"/>
    <col min="4353" max="4353" width="3.125" style="1083" customWidth="1"/>
    <col min="4354" max="4363" width="2.375" style="1083" customWidth="1"/>
    <col min="4364" max="4364" width="2.25" style="1083" customWidth="1"/>
    <col min="4365" max="4386" width="2.375" style="1083" customWidth="1"/>
    <col min="4387" max="4387" width="7.375" style="1083" customWidth="1"/>
    <col min="4388" max="4390" width="2.375" style="1083" customWidth="1"/>
    <col min="4391" max="4391" width="4.75" style="1083" customWidth="1"/>
    <col min="4392" max="4392" width="2.375" style="1083" customWidth="1"/>
    <col min="4393" max="4393" width="5.375" style="1083" customWidth="1"/>
    <col min="4394" max="4428" width="2.375" style="1083" customWidth="1"/>
    <col min="4429" max="4608" width="8" style="1083"/>
    <col min="4609" max="4609" width="3.125" style="1083" customWidth="1"/>
    <col min="4610" max="4619" width="2.375" style="1083" customWidth="1"/>
    <col min="4620" max="4620" width="2.25" style="1083" customWidth="1"/>
    <col min="4621" max="4642" width="2.375" style="1083" customWidth="1"/>
    <col min="4643" max="4643" width="7.375" style="1083" customWidth="1"/>
    <col min="4644" max="4646" width="2.375" style="1083" customWidth="1"/>
    <col min="4647" max="4647" width="4.75" style="1083" customWidth="1"/>
    <col min="4648" max="4648" width="2.375" style="1083" customWidth="1"/>
    <col min="4649" max="4649" width="5.375" style="1083" customWidth="1"/>
    <col min="4650" max="4684" width="2.375" style="1083" customWidth="1"/>
    <col min="4685" max="4864" width="8" style="1083"/>
    <col min="4865" max="4865" width="3.125" style="1083" customWidth="1"/>
    <col min="4866" max="4875" width="2.375" style="1083" customWidth="1"/>
    <col min="4876" max="4876" width="2.25" style="1083" customWidth="1"/>
    <col min="4877" max="4898" width="2.375" style="1083" customWidth="1"/>
    <col min="4899" max="4899" width="7.375" style="1083" customWidth="1"/>
    <col min="4900" max="4902" width="2.375" style="1083" customWidth="1"/>
    <col min="4903" max="4903" width="4.75" style="1083" customWidth="1"/>
    <col min="4904" max="4904" width="2.375" style="1083" customWidth="1"/>
    <col min="4905" max="4905" width="5.375" style="1083" customWidth="1"/>
    <col min="4906" max="4940" width="2.375" style="1083" customWidth="1"/>
    <col min="4941" max="5120" width="8" style="1083"/>
    <col min="5121" max="5121" width="3.125" style="1083" customWidth="1"/>
    <col min="5122" max="5131" width="2.375" style="1083" customWidth="1"/>
    <col min="5132" max="5132" width="2.25" style="1083" customWidth="1"/>
    <col min="5133" max="5154" width="2.375" style="1083" customWidth="1"/>
    <col min="5155" max="5155" width="7.375" style="1083" customWidth="1"/>
    <col min="5156" max="5158" width="2.375" style="1083" customWidth="1"/>
    <col min="5159" max="5159" width="4.75" style="1083" customWidth="1"/>
    <col min="5160" max="5160" width="2.375" style="1083" customWidth="1"/>
    <col min="5161" max="5161" width="5.375" style="1083" customWidth="1"/>
    <col min="5162" max="5196" width="2.375" style="1083" customWidth="1"/>
    <col min="5197" max="5376" width="8" style="1083"/>
    <col min="5377" max="5377" width="3.125" style="1083" customWidth="1"/>
    <col min="5378" max="5387" width="2.375" style="1083" customWidth="1"/>
    <col min="5388" max="5388" width="2.25" style="1083" customWidth="1"/>
    <col min="5389" max="5410" width="2.375" style="1083" customWidth="1"/>
    <col min="5411" max="5411" width="7.375" style="1083" customWidth="1"/>
    <col min="5412" max="5414" width="2.375" style="1083" customWidth="1"/>
    <col min="5415" max="5415" width="4.75" style="1083" customWidth="1"/>
    <col min="5416" max="5416" width="2.375" style="1083" customWidth="1"/>
    <col min="5417" max="5417" width="5.375" style="1083" customWidth="1"/>
    <col min="5418" max="5452" width="2.375" style="1083" customWidth="1"/>
    <col min="5453" max="5632" width="8" style="1083"/>
    <col min="5633" max="5633" width="3.125" style="1083" customWidth="1"/>
    <col min="5634" max="5643" width="2.375" style="1083" customWidth="1"/>
    <col min="5644" max="5644" width="2.25" style="1083" customWidth="1"/>
    <col min="5645" max="5666" width="2.375" style="1083" customWidth="1"/>
    <col min="5667" max="5667" width="7.375" style="1083" customWidth="1"/>
    <col min="5668" max="5670" width="2.375" style="1083" customWidth="1"/>
    <col min="5671" max="5671" width="4.75" style="1083" customWidth="1"/>
    <col min="5672" max="5672" width="2.375" style="1083" customWidth="1"/>
    <col min="5673" max="5673" width="5.375" style="1083" customWidth="1"/>
    <col min="5674" max="5708" width="2.375" style="1083" customWidth="1"/>
    <col min="5709" max="5888" width="8" style="1083"/>
    <col min="5889" max="5889" width="3.125" style="1083" customWidth="1"/>
    <col min="5890" max="5899" width="2.375" style="1083" customWidth="1"/>
    <col min="5900" max="5900" width="2.25" style="1083" customWidth="1"/>
    <col min="5901" max="5922" width="2.375" style="1083" customWidth="1"/>
    <col min="5923" max="5923" width="7.375" style="1083" customWidth="1"/>
    <col min="5924" max="5926" width="2.375" style="1083" customWidth="1"/>
    <col min="5927" max="5927" width="4.75" style="1083" customWidth="1"/>
    <col min="5928" max="5928" width="2.375" style="1083" customWidth="1"/>
    <col min="5929" max="5929" width="5.375" style="1083" customWidth="1"/>
    <col min="5930" max="5964" width="2.375" style="1083" customWidth="1"/>
    <col min="5965" max="6144" width="8" style="1083"/>
    <col min="6145" max="6145" width="3.125" style="1083" customWidth="1"/>
    <col min="6146" max="6155" width="2.375" style="1083" customWidth="1"/>
    <col min="6156" max="6156" width="2.25" style="1083" customWidth="1"/>
    <col min="6157" max="6178" width="2.375" style="1083" customWidth="1"/>
    <col min="6179" max="6179" width="7.375" style="1083" customWidth="1"/>
    <col min="6180" max="6182" width="2.375" style="1083" customWidth="1"/>
    <col min="6183" max="6183" width="4.75" style="1083" customWidth="1"/>
    <col min="6184" max="6184" width="2.375" style="1083" customWidth="1"/>
    <col min="6185" max="6185" width="5.375" style="1083" customWidth="1"/>
    <col min="6186" max="6220" width="2.375" style="1083" customWidth="1"/>
    <col min="6221" max="6400" width="8" style="1083"/>
    <col min="6401" max="6401" width="3.125" style="1083" customWidth="1"/>
    <col min="6402" max="6411" width="2.375" style="1083" customWidth="1"/>
    <col min="6412" max="6412" width="2.25" style="1083" customWidth="1"/>
    <col min="6413" max="6434" width="2.375" style="1083" customWidth="1"/>
    <col min="6435" max="6435" width="7.375" style="1083" customWidth="1"/>
    <col min="6436" max="6438" width="2.375" style="1083" customWidth="1"/>
    <col min="6439" max="6439" width="4.75" style="1083" customWidth="1"/>
    <col min="6440" max="6440" width="2.375" style="1083" customWidth="1"/>
    <col min="6441" max="6441" width="5.375" style="1083" customWidth="1"/>
    <col min="6442" max="6476" width="2.375" style="1083" customWidth="1"/>
    <col min="6477" max="6656" width="8" style="1083"/>
    <col min="6657" max="6657" width="3.125" style="1083" customWidth="1"/>
    <col min="6658" max="6667" width="2.375" style="1083" customWidth="1"/>
    <col min="6668" max="6668" width="2.25" style="1083" customWidth="1"/>
    <col min="6669" max="6690" width="2.375" style="1083" customWidth="1"/>
    <col min="6691" max="6691" width="7.375" style="1083" customWidth="1"/>
    <col min="6692" max="6694" width="2.375" style="1083" customWidth="1"/>
    <col min="6695" max="6695" width="4.75" style="1083" customWidth="1"/>
    <col min="6696" max="6696" width="2.375" style="1083" customWidth="1"/>
    <col min="6697" max="6697" width="5.375" style="1083" customWidth="1"/>
    <col min="6698" max="6732" width="2.375" style="1083" customWidth="1"/>
    <col min="6733" max="6912" width="8" style="1083"/>
    <col min="6913" max="6913" width="3.125" style="1083" customWidth="1"/>
    <col min="6914" max="6923" width="2.375" style="1083" customWidth="1"/>
    <col min="6924" max="6924" width="2.25" style="1083" customWidth="1"/>
    <col min="6925" max="6946" width="2.375" style="1083" customWidth="1"/>
    <col min="6947" max="6947" width="7.375" style="1083" customWidth="1"/>
    <col min="6948" max="6950" width="2.375" style="1083" customWidth="1"/>
    <col min="6951" max="6951" width="4.75" style="1083" customWidth="1"/>
    <col min="6952" max="6952" width="2.375" style="1083" customWidth="1"/>
    <col min="6953" max="6953" width="5.375" style="1083" customWidth="1"/>
    <col min="6954" max="6988" width="2.375" style="1083" customWidth="1"/>
    <col min="6989" max="7168" width="8" style="1083"/>
    <col min="7169" max="7169" width="3.125" style="1083" customWidth="1"/>
    <col min="7170" max="7179" width="2.375" style="1083" customWidth="1"/>
    <col min="7180" max="7180" width="2.25" style="1083" customWidth="1"/>
    <col min="7181" max="7202" width="2.375" style="1083" customWidth="1"/>
    <col min="7203" max="7203" width="7.375" style="1083" customWidth="1"/>
    <col min="7204" max="7206" width="2.375" style="1083" customWidth="1"/>
    <col min="7207" max="7207" width="4.75" style="1083" customWidth="1"/>
    <col min="7208" max="7208" width="2.375" style="1083" customWidth="1"/>
    <col min="7209" max="7209" width="5.375" style="1083" customWidth="1"/>
    <col min="7210" max="7244" width="2.375" style="1083" customWidth="1"/>
    <col min="7245" max="7424" width="8" style="1083"/>
    <col min="7425" max="7425" width="3.125" style="1083" customWidth="1"/>
    <col min="7426" max="7435" width="2.375" style="1083" customWidth="1"/>
    <col min="7436" max="7436" width="2.25" style="1083" customWidth="1"/>
    <col min="7437" max="7458" width="2.375" style="1083" customWidth="1"/>
    <col min="7459" max="7459" width="7.375" style="1083" customWidth="1"/>
    <col min="7460" max="7462" width="2.375" style="1083" customWidth="1"/>
    <col min="7463" max="7463" width="4.75" style="1083" customWidth="1"/>
    <col min="7464" max="7464" width="2.375" style="1083" customWidth="1"/>
    <col min="7465" max="7465" width="5.375" style="1083" customWidth="1"/>
    <col min="7466" max="7500" width="2.375" style="1083" customWidth="1"/>
    <col min="7501" max="7680" width="8" style="1083"/>
    <col min="7681" max="7681" width="3.125" style="1083" customWidth="1"/>
    <col min="7682" max="7691" width="2.375" style="1083" customWidth="1"/>
    <col min="7692" max="7692" width="2.25" style="1083" customWidth="1"/>
    <col min="7693" max="7714" width="2.375" style="1083" customWidth="1"/>
    <col min="7715" max="7715" width="7.375" style="1083" customWidth="1"/>
    <col min="7716" max="7718" width="2.375" style="1083" customWidth="1"/>
    <col min="7719" max="7719" width="4.75" style="1083" customWidth="1"/>
    <col min="7720" max="7720" width="2.375" style="1083" customWidth="1"/>
    <col min="7721" max="7721" width="5.375" style="1083" customWidth="1"/>
    <col min="7722" max="7756" width="2.375" style="1083" customWidth="1"/>
    <col min="7757" max="7936" width="8" style="1083"/>
    <col min="7937" max="7937" width="3.125" style="1083" customWidth="1"/>
    <col min="7938" max="7947" width="2.375" style="1083" customWidth="1"/>
    <col min="7948" max="7948" width="2.25" style="1083" customWidth="1"/>
    <col min="7949" max="7970" width="2.375" style="1083" customWidth="1"/>
    <col min="7971" max="7971" width="7.375" style="1083" customWidth="1"/>
    <col min="7972" max="7974" width="2.375" style="1083" customWidth="1"/>
    <col min="7975" max="7975" width="4.75" style="1083" customWidth="1"/>
    <col min="7976" max="7976" width="2.375" style="1083" customWidth="1"/>
    <col min="7977" max="7977" width="5.375" style="1083" customWidth="1"/>
    <col min="7978" max="8012" width="2.375" style="1083" customWidth="1"/>
    <col min="8013" max="8192" width="8" style="1083"/>
    <col min="8193" max="8193" width="3.125" style="1083" customWidth="1"/>
    <col min="8194" max="8203" width="2.375" style="1083" customWidth="1"/>
    <col min="8204" max="8204" width="2.25" style="1083" customWidth="1"/>
    <col min="8205" max="8226" width="2.375" style="1083" customWidth="1"/>
    <col min="8227" max="8227" width="7.375" style="1083" customWidth="1"/>
    <col min="8228" max="8230" width="2.375" style="1083" customWidth="1"/>
    <col min="8231" max="8231" width="4.75" style="1083" customWidth="1"/>
    <col min="8232" max="8232" width="2.375" style="1083" customWidth="1"/>
    <col min="8233" max="8233" width="5.375" style="1083" customWidth="1"/>
    <col min="8234" max="8268" width="2.375" style="1083" customWidth="1"/>
    <col min="8269" max="8448" width="8" style="1083"/>
    <col min="8449" max="8449" width="3.125" style="1083" customWidth="1"/>
    <col min="8450" max="8459" width="2.375" style="1083" customWidth="1"/>
    <col min="8460" max="8460" width="2.25" style="1083" customWidth="1"/>
    <col min="8461" max="8482" width="2.375" style="1083" customWidth="1"/>
    <col min="8483" max="8483" width="7.375" style="1083" customWidth="1"/>
    <col min="8484" max="8486" width="2.375" style="1083" customWidth="1"/>
    <col min="8487" max="8487" width="4.75" style="1083" customWidth="1"/>
    <col min="8488" max="8488" width="2.375" style="1083" customWidth="1"/>
    <col min="8489" max="8489" width="5.375" style="1083" customWidth="1"/>
    <col min="8490" max="8524" width="2.375" style="1083" customWidth="1"/>
    <col min="8525" max="8704" width="8" style="1083"/>
    <col min="8705" max="8705" width="3.125" style="1083" customWidth="1"/>
    <col min="8706" max="8715" width="2.375" style="1083" customWidth="1"/>
    <col min="8716" max="8716" width="2.25" style="1083" customWidth="1"/>
    <col min="8717" max="8738" width="2.375" style="1083" customWidth="1"/>
    <col min="8739" max="8739" width="7.375" style="1083" customWidth="1"/>
    <col min="8740" max="8742" width="2.375" style="1083" customWidth="1"/>
    <col min="8743" max="8743" width="4.75" style="1083" customWidth="1"/>
    <col min="8744" max="8744" width="2.375" style="1083" customWidth="1"/>
    <col min="8745" max="8745" width="5.375" style="1083" customWidth="1"/>
    <col min="8746" max="8780" width="2.375" style="1083" customWidth="1"/>
    <col min="8781" max="8960" width="8" style="1083"/>
    <col min="8961" max="8961" width="3.125" style="1083" customWidth="1"/>
    <col min="8962" max="8971" width="2.375" style="1083" customWidth="1"/>
    <col min="8972" max="8972" width="2.25" style="1083" customWidth="1"/>
    <col min="8973" max="8994" width="2.375" style="1083" customWidth="1"/>
    <col min="8995" max="8995" width="7.375" style="1083" customWidth="1"/>
    <col min="8996" max="8998" width="2.375" style="1083" customWidth="1"/>
    <col min="8999" max="8999" width="4.75" style="1083" customWidth="1"/>
    <col min="9000" max="9000" width="2.375" style="1083" customWidth="1"/>
    <col min="9001" max="9001" width="5.375" style="1083" customWidth="1"/>
    <col min="9002" max="9036" width="2.375" style="1083" customWidth="1"/>
    <col min="9037" max="9216" width="8" style="1083"/>
    <col min="9217" max="9217" width="3.125" style="1083" customWidth="1"/>
    <col min="9218" max="9227" width="2.375" style="1083" customWidth="1"/>
    <col min="9228" max="9228" width="2.25" style="1083" customWidth="1"/>
    <col min="9229" max="9250" width="2.375" style="1083" customWidth="1"/>
    <col min="9251" max="9251" width="7.375" style="1083" customWidth="1"/>
    <col min="9252" max="9254" width="2.375" style="1083" customWidth="1"/>
    <col min="9255" max="9255" width="4.75" style="1083" customWidth="1"/>
    <col min="9256" max="9256" width="2.375" style="1083" customWidth="1"/>
    <col min="9257" max="9257" width="5.375" style="1083" customWidth="1"/>
    <col min="9258" max="9292" width="2.375" style="1083" customWidth="1"/>
    <col min="9293" max="9472" width="8" style="1083"/>
    <col min="9473" max="9473" width="3.125" style="1083" customWidth="1"/>
    <col min="9474" max="9483" width="2.375" style="1083" customWidth="1"/>
    <col min="9484" max="9484" width="2.25" style="1083" customWidth="1"/>
    <col min="9485" max="9506" width="2.375" style="1083" customWidth="1"/>
    <col min="9507" max="9507" width="7.375" style="1083" customWidth="1"/>
    <col min="9508" max="9510" width="2.375" style="1083" customWidth="1"/>
    <col min="9511" max="9511" width="4.75" style="1083" customWidth="1"/>
    <col min="9512" max="9512" width="2.375" style="1083" customWidth="1"/>
    <col min="9513" max="9513" width="5.375" style="1083" customWidth="1"/>
    <col min="9514" max="9548" width="2.375" style="1083" customWidth="1"/>
    <col min="9549" max="9728" width="8" style="1083"/>
    <col min="9729" max="9729" width="3.125" style="1083" customWidth="1"/>
    <col min="9730" max="9739" width="2.375" style="1083" customWidth="1"/>
    <col min="9740" max="9740" width="2.25" style="1083" customWidth="1"/>
    <col min="9741" max="9762" width="2.375" style="1083" customWidth="1"/>
    <col min="9763" max="9763" width="7.375" style="1083" customWidth="1"/>
    <col min="9764" max="9766" width="2.375" style="1083" customWidth="1"/>
    <col min="9767" max="9767" width="4.75" style="1083" customWidth="1"/>
    <col min="9768" max="9768" width="2.375" style="1083" customWidth="1"/>
    <col min="9769" max="9769" width="5.375" style="1083" customWidth="1"/>
    <col min="9770" max="9804" width="2.375" style="1083" customWidth="1"/>
    <col min="9805" max="9984" width="8" style="1083"/>
    <col min="9985" max="9985" width="3.125" style="1083" customWidth="1"/>
    <col min="9986" max="9995" width="2.375" style="1083" customWidth="1"/>
    <col min="9996" max="9996" width="2.25" style="1083" customWidth="1"/>
    <col min="9997" max="10018" width="2.375" style="1083" customWidth="1"/>
    <col min="10019" max="10019" width="7.375" style="1083" customWidth="1"/>
    <col min="10020" max="10022" width="2.375" style="1083" customWidth="1"/>
    <col min="10023" max="10023" width="4.75" style="1083" customWidth="1"/>
    <col min="10024" max="10024" width="2.375" style="1083" customWidth="1"/>
    <col min="10025" max="10025" width="5.375" style="1083" customWidth="1"/>
    <col min="10026" max="10060" width="2.375" style="1083" customWidth="1"/>
    <col min="10061" max="10240" width="8" style="1083"/>
    <col min="10241" max="10241" width="3.125" style="1083" customWidth="1"/>
    <col min="10242" max="10251" width="2.375" style="1083" customWidth="1"/>
    <col min="10252" max="10252" width="2.25" style="1083" customWidth="1"/>
    <col min="10253" max="10274" width="2.375" style="1083" customWidth="1"/>
    <col min="10275" max="10275" width="7.375" style="1083" customWidth="1"/>
    <col min="10276" max="10278" width="2.375" style="1083" customWidth="1"/>
    <col min="10279" max="10279" width="4.75" style="1083" customWidth="1"/>
    <col min="10280" max="10280" width="2.375" style="1083" customWidth="1"/>
    <col min="10281" max="10281" width="5.375" style="1083" customWidth="1"/>
    <col min="10282" max="10316" width="2.375" style="1083" customWidth="1"/>
    <col min="10317" max="10496" width="8" style="1083"/>
    <col min="10497" max="10497" width="3.125" style="1083" customWidth="1"/>
    <col min="10498" max="10507" width="2.375" style="1083" customWidth="1"/>
    <col min="10508" max="10508" width="2.25" style="1083" customWidth="1"/>
    <col min="10509" max="10530" width="2.375" style="1083" customWidth="1"/>
    <col min="10531" max="10531" width="7.375" style="1083" customWidth="1"/>
    <col min="10532" max="10534" width="2.375" style="1083" customWidth="1"/>
    <col min="10535" max="10535" width="4.75" style="1083" customWidth="1"/>
    <col min="10536" max="10536" width="2.375" style="1083" customWidth="1"/>
    <col min="10537" max="10537" width="5.375" style="1083" customWidth="1"/>
    <col min="10538" max="10572" width="2.375" style="1083" customWidth="1"/>
    <col min="10573" max="10752" width="8" style="1083"/>
    <col min="10753" max="10753" width="3.125" style="1083" customWidth="1"/>
    <col min="10754" max="10763" width="2.375" style="1083" customWidth="1"/>
    <col min="10764" max="10764" width="2.25" style="1083" customWidth="1"/>
    <col min="10765" max="10786" width="2.375" style="1083" customWidth="1"/>
    <col min="10787" max="10787" width="7.375" style="1083" customWidth="1"/>
    <col min="10788" max="10790" width="2.375" style="1083" customWidth="1"/>
    <col min="10791" max="10791" width="4.75" style="1083" customWidth="1"/>
    <col min="10792" max="10792" width="2.375" style="1083" customWidth="1"/>
    <col min="10793" max="10793" width="5.375" style="1083" customWidth="1"/>
    <col min="10794" max="10828" width="2.375" style="1083" customWidth="1"/>
    <col min="10829" max="11008" width="8" style="1083"/>
    <col min="11009" max="11009" width="3.125" style="1083" customWidth="1"/>
    <col min="11010" max="11019" width="2.375" style="1083" customWidth="1"/>
    <col min="11020" max="11020" width="2.25" style="1083" customWidth="1"/>
    <col min="11021" max="11042" width="2.375" style="1083" customWidth="1"/>
    <col min="11043" max="11043" width="7.375" style="1083" customWidth="1"/>
    <col min="11044" max="11046" width="2.375" style="1083" customWidth="1"/>
    <col min="11047" max="11047" width="4.75" style="1083" customWidth="1"/>
    <col min="11048" max="11048" width="2.375" style="1083" customWidth="1"/>
    <col min="11049" max="11049" width="5.375" style="1083" customWidth="1"/>
    <col min="11050" max="11084" width="2.375" style="1083" customWidth="1"/>
    <col min="11085" max="11264" width="8" style="1083"/>
    <col min="11265" max="11265" width="3.125" style="1083" customWidth="1"/>
    <col min="11266" max="11275" width="2.375" style="1083" customWidth="1"/>
    <col min="11276" max="11276" width="2.25" style="1083" customWidth="1"/>
    <col min="11277" max="11298" width="2.375" style="1083" customWidth="1"/>
    <col min="11299" max="11299" width="7.375" style="1083" customWidth="1"/>
    <col min="11300" max="11302" width="2.375" style="1083" customWidth="1"/>
    <col min="11303" max="11303" width="4.75" style="1083" customWidth="1"/>
    <col min="11304" max="11304" width="2.375" style="1083" customWidth="1"/>
    <col min="11305" max="11305" width="5.375" style="1083" customWidth="1"/>
    <col min="11306" max="11340" width="2.375" style="1083" customWidth="1"/>
    <col min="11341" max="11520" width="8" style="1083"/>
    <col min="11521" max="11521" width="3.125" style="1083" customWidth="1"/>
    <col min="11522" max="11531" width="2.375" style="1083" customWidth="1"/>
    <col min="11532" max="11532" width="2.25" style="1083" customWidth="1"/>
    <col min="11533" max="11554" width="2.375" style="1083" customWidth="1"/>
    <col min="11555" max="11555" width="7.375" style="1083" customWidth="1"/>
    <col min="11556" max="11558" width="2.375" style="1083" customWidth="1"/>
    <col min="11559" max="11559" width="4.75" style="1083" customWidth="1"/>
    <col min="11560" max="11560" width="2.375" style="1083" customWidth="1"/>
    <col min="11561" max="11561" width="5.375" style="1083" customWidth="1"/>
    <col min="11562" max="11596" width="2.375" style="1083" customWidth="1"/>
    <col min="11597" max="11776" width="8" style="1083"/>
    <col min="11777" max="11777" width="3.125" style="1083" customWidth="1"/>
    <col min="11778" max="11787" width="2.375" style="1083" customWidth="1"/>
    <col min="11788" max="11788" width="2.25" style="1083" customWidth="1"/>
    <col min="11789" max="11810" width="2.375" style="1083" customWidth="1"/>
    <col min="11811" max="11811" width="7.375" style="1083" customWidth="1"/>
    <col min="11812" max="11814" width="2.375" style="1083" customWidth="1"/>
    <col min="11815" max="11815" width="4.75" style="1083" customWidth="1"/>
    <col min="11816" max="11816" width="2.375" style="1083" customWidth="1"/>
    <col min="11817" max="11817" width="5.375" style="1083" customWidth="1"/>
    <col min="11818" max="11852" width="2.375" style="1083" customWidth="1"/>
    <col min="11853" max="12032" width="8" style="1083"/>
    <col min="12033" max="12033" width="3.125" style="1083" customWidth="1"/>
    <col min="12034" max="12043" width="2.375" style="1083" customWidth="1"/>
    <col min="12044" max="12044" width="2.25" style="1083" customWidth="1"/>
    <col min="12045" max="12066" width="2.375" style="1083" customWidth="1"/>
    <col min="12067" max="12067" width="7.375" style="1083" customWidth="1"/>
    <col min="12068" max="12070" width="2.375" style="1083" customWidth="1"/>
    <col min="12071" max="12071" width="4.75" style="1083" customWidth="1"/>
    <col min="12072" max="12072" width="2.375" style="1083" customWidth="1"/>
    <col min="12073" max="12073" width="5.375" style="1083" customWidth="1"/>
    <col min="12074" max="12108" width="2.375" style="1083" customWidth="1"/>
    <col min="12109" max="12288" width="8" style="1083"/>
    <col min="12289" max="12289" width="3.125" style="1083" customWidth="1"/>
    <col min="12290" max="12299" width="2.375" style="1083" customWidth="1"/>
    <col min="12300" max="12300" width="2.25" style="1083" customWidth="1"/>
    <col min="12301" max="12322" width="2.375" style="1083" customWidth="1"/>
    <col min="12323" max="12323" width="7.375" style="1083" customWidth="1"/>
    <col min="12324" max="12326" width="2.375" style="1083" customWidth="1"/>
    <col min="12327" max="12327" width="4.75" style="1083" customWidth="1"/>
    <col min="12328" max="12328" width="2.375" style="1083" customWidth="1"/>
    <col min="12329" max="12329" width="5.375" style="1083" customWidth="1"/>
    <col min="12330" max="12364" width="2.375" style="1083" customWidth="1"/>
    <col min="12365" max="12544" width="8" style="1083"/>
    <col min="12545" max="12545" width="3.125" style="1083" customWidth="1"/>
    <col min="12546" max="12555" width="2.375" style="1083" customWidth="1"/>
    <col min="12556" max="12556" width="2.25" style="1083" customWidth="1"/>
    <col min="12557" max="12578" width="2.375" style="1083" customWidth="1"/>
    <col min="12579" max="12579" width="7.375" style="1083" customWidth="1"/>
    <col min="12580" max="12582" width="2.375" style="1083" customWidth="1"/>
    <col min="12583" max="12583" width="4.75" style="1083" customWidth="1"/>
    <col min="12584" max="12584" width="2.375" style="1083" customWidth="1"/>
    <col min="12585" max="12585" width="5.375" style="1083" customWidth="1"/>
    <col min="12586" max="12620" width="2.375" style="1083" customWidth="1"/>
    <col min="12621" max="12800" width="8" style="1083"/>
    <col min="12801" max="12801" width="3.125" style="1083" customWidth="1"/>
    <col min="12802" max="12811" width="2.375" style="1083" customWidth="1"/>
    <col min="12812" max="12812" width="2.25" style="1083" customWidth="1"/>
    <col min="12813" max="12834" width="2.375" style="1083" customWidth="1"/>
    <col min="12835" max="12835" width="7.375" style="1083" customWidth="1"/>
    <col min="12836" max="12838" width="2.375" style="1083" customWidth="1"/>
    <col min="12839" max="12839" width="4.75" style="1083" customWidth="1"/>
    <col min="12840" max="12840" width="2.375" style="1083" customWidth="1"/>
    <col min="12841" max="12841" width="5.375" style="1083" customWidth="1"/>
    <col min="12842" max="12876" width="2.375" style="1083" customWidth="1"/>
    <col min="12877" max="13056" width="8" style="1083"/>
    <col min="13057" max="13057" width="3.125" style="1083" customWidth="1"/>
    <col min="13058" max="13067" width="2.375" style="1083" customWidth="1"/>
    <col min="13068" max="13068" width="2.25" style="1083" customWidth="1"/>
    <col min="13069" max="13090" width="2.375" style="1083" customWidth="1"/>
    <col min="13091" max="13091" width="7.375" style="1083" customWidth="1"/>
    <col min="13092" max="13094" width="2.375" style="1083" customWidth="1"/>
    <col min="13095" max="13095" width="4.75" style="1083" customWidth="1"/>
    <col min="13096" max="13096" width="2.375" style="1083" customWidth="1"/>
    <col min="13097" max="13097" width="5.375" style="1083" customWidth="1"/>
    <col min="13098" max="13132" width="2.375" style="1083" customWidth="1"/>
    <col min="13133" max="13312" width="8" style="1083"/>
    <col min="13313" max="13313" width="3.125" style="1083" customWidth="1"/>
    <col min="13314" max="13323" width="2.375" style="1083" customWidth="1"/>
    <col min="13324" max="13324" width="2.25" style="1083" customWidth="1"/>
    <col min="13325" max="13346" width="2.375" style="1083" customWidth="1"/>
    <col min="13347" max="13347" width="7.375" style="1083" customWidth="1"/>
    <col min="13348" max="13350" width="2.375" style="1083" customWidth="1"/>
    <col min="13351" max="13351" width="4.75" style="1083" customWidth="1"/>
    <col min="13352" max="13352" width="2.375" style="1083" customWidth="1"/>
    <col min="13353" max="13353" width="5.375" style="1083" customWidth="1"/>
    <col min="13354" max="13388" width="2.375" style="1083" customWidth="1"/>
    <col min="13389" max="13568" width="8" style="1083"/>
    <col min="13569" max="13569" width="3.125" style="1083" customWidth="1"/>
    <col min="13570" max="13579" width="2.375" style="1083" customWidth="1"/>
    <col min="13580" max="13580" width="2.25" style="1083" customWidth="1"/>
    <col min="13581" max="13602" width="2.375" style="1083" customWidth="1"/>
    <col min="13603" max="13603" width="7.375" style="1083" customWidth="1"/>
    <col min="13604" max="13606" width="2.375" style="1083" customWidth="1"/>
    <col min="13607" max="13607" width="4.75" style="1083" customWidth="1"/>
    <col min="13608" max="13608" width="2.375" style="1083" customWidth="1"/>
    <col min="13609" max="13609" width="5.375" style="1083" customWidth="1"/>
    <col min="13610" max="13644" width="2.375" style="1083" customWidth="1"/>
    <col min="13645" max="13824" width="8" style="1083"/>
    <col min="13825" max="13825" width="3.125" style="1083" customWidth="1"/>
    <col min="13826" max="13835" width="2.375" style="1083" customWidth="1"/>
    <col min="13836" max="13836" width="2.25" style="1083" customWidth="1"/>
    <col min="13837" max="13858" width="2.375" style="1083" customWidth="1"/>
    <col min="13859" max="13859" width="7.375" style="1083" customWidth="1"/>
    <col min="13860" max="13862" width="2.375" style="1083" customWidth="1"/>
    <col min="13863" max="13863" width="4.75" style="1083" customWidth="1"/>
    <col min="13864" max="13864" width="2.375" style="1083" customWidth="1"/>
    <col min="13865" max="13865" width="5.375" style="1083" customWidth="1"/>
    <col min="13866" max="13900" width="2.375" style="1083" customWidth="1"/>
    <col min="13901" max="14080" width="8" style="1083"/>
    <col min="14081" max="14081" width="3.125" style="1083" customWidth="1"/>
    <col min="14082" max="14091" width="2.375" style="1083" customWidth="1"/>
    <col min="14092" max="14092" width="2.25" style="1083" customWidth="1"/>
    <col min="14093" max="14114" width="2.375" style="1083" customWidth="1"/>
    <col min="14115" max="14115" width="7.375" style="1083" customWidth="1"/>
    <col min="14116" max="14118" width="2.375" style="1083" customWidth="1"/>
    <col min="14119" max="14119" width="4.75" style="1083" customWidth="1"/>
    <col min="14120" max="14120" width="2.375" style="1083" customWidth="1"/>
    <col min="14121" max="14121" width="5.375" style="1083" customWidth="1"/>
    <col min="14122" max="14156" width="2.375" style="1083" customWidth="1"/>
    <col min="14157" max="14336" width="8" style="1083"/>
    <col min="14337" max="14337" width="3.125" style="1083" customWidth="1"/>
    <col min="14338" max="14347" width="2.375" style="1083" customWidth="1"/>
    <col min="14348" max="14348" width="2.25" style="1083" customWidth="1"/>
    <col min="14349" max="14370" width="2.375" style="1083" customWidth="1"/>
    <col min="14371" max="14371" width="7.375" style="1083" customWidth="1"/>
    <col min="14372" max="14374" width="2.375" style="1083" customWidth="1"/>
    <col min="14375" max="14375" width="4.75" style="1083" customWidth="1"/>
    <col min="14376" max="14376" width="2.375" style="1083" customWidth="1"/>
    <col min="14377" max="14377" width="5.375" style="1083" customWidth="1"/>
    <col min="14378" max="14412" width="2.375" style="1083" customWidth="1"/>
    <col min="14413" max="14592" width="8" style="1083"/>
    <col min="14593" max="14593" width="3.125" style="1083" customWidth="1"/>
    <col min="14594" max="14603" width="2.375" style="1083" customWidth="1"/>
    <col min="14604" max="14604" width="2.25" style="1083" customWidth="1"/>
    <col min="14605" max="14626" width="2.375" style="1083" customWidth="1"/>
    <col min="14627" max="14627" width="7.375" style="1083" customWidth="1"/>
    <col min="14628" max="14630" width="2.375" style="1083" customWidth="1"/>
    <col min="14631" max="14631" width="4.75" style="1083" customWidth="1"/>
    <col min="14632" max="14632" width="2.375" style="1083" customWidth="1"/>
    <col min="14633" max="14633" width="5.375" style="1083" customWidth="1"/>
    <col min="14634" max="14668" width="2.375" style="1083" customWidth="1"/>
    <col min="14669" max="14848" width="8" style="1083"/>
    <col min="14849" max="14849" width="3.125" style="1083" customWidth="1"/>
    <col min="14850" max="14859" width="2.375" style="1083" customWidth="1"/>
    <col min="14860" max="14860" width="2.25" style="1083" customWidth="1"/>
    <col min="14861" max="14882" width="2.375" style="1083" customWidth="1"/>
    <col min="14883" max="14883" width="7.375" style="1083" customWidth="1"/>
    <col min="14884" max="14886" width="2.375" style="1083" customWidth="1"/>
    <col min="14887" max="14887" width="4.75" style="1083" customWidth="1"/>
    <col min="14888" max="14888" width="2.375" style="1083" customWidth="1"/>
    <col min="14889" max="14889" width="5.375" style="1083" customWidth="1"/>
    <col min="14890" max="14924" width="2.375" style="1083" customWidth="1"/>
    <col min="14925" max="15104" width="8" style="1083"/>
    <col min="15105" max="15105" width="3.125" style="1083" customWidth="1"/>
    <col min="15106" max="15115" width="2.375" style="1083" customWidth="1"/>
    <col min="15116" max="15116" width="2.25" style="1083" customWidth="1"/>
    <col min="15117" max="15138" width="2.375" style="1083" customWidth="1"/>
    <col min="15139" max="15139" width="7.375" style="1083" customWidth="1"/>
    <col min="15140" max="15142" width="2.375" style="1083" customWidth="1"/>
    <col min="15143" max="15143" width="4.75" style="1083" customWidth="1"/>
    <col min="15144" max="15144" width="2.375" style="1083" customWidth="1"/>
    <col min="15145" max="15145" width="5.375" style="1083" customWidth="1"/>
    <col min="15146" max="15180" width="2.375" style="1083" customWidth="1"/>
    <col min="15181" max="15360" width="8" style="1083"/>
    <col min="15361" max="15361" width="3.125" style="1083" customWidth="1"/>
    <col min="15362" max="15371" width="2.375" style="1083" customWidth="1"/>
    <col min="15372" max="15372" width="2.25" style="1083" customWidth="1"/>
    <col min="15373" max="15394" width="2.375" style="1083" customWidth="1"/>
    <col min="15395" max="15395" width="7.375" style="1083" customWidth="1"/>
    <col min="15396" max="15398" width="2.375" style="1083" customWidth="1"/>
    <col min="15399" max="15399" width="4.75" style="1083" customWidth="1"/>
    <col min="15400" max="15400" width="2.375" style="1083" customWidth="1"/>
    <col min="15401" max="15401" width="5.375" style="1083" customWidth="1"/>
    <col min="15402" max="15436" width="2.375" style="1083" customWidth="1"/>
    <col min="15437" max="15616" width="8" style="1083"/>
    <col min="15617" max="15617" width="3.125" style="1083" customWidth="1"/>
    <col min="15618" max="15627" width="2.375" style="1083" customWidth="1"/>
    <col min="15628" max="15628" width="2.25" style="1083" customWidth="1"/>
    <col min="15629" max="15650" width="2.375" style="1083" customWidth="1"/>
    <col min="15651" max="15651" width="7.375" style="1083" customWidth="1"/>
    <col min="15652" max="15654" width="2.375" style="1083" customWidth="1"/>
    <col min="15655" max="15655" width="4.75" style="1083" customWidth="1"/>
    <col min="15656" max="15656" width="2.375" style="1083" customWidth="1"/>
    <col min="15657" max="15657" width="5.375" style="1083" customWidth="1"/>
    <col min="15658" max="15692" width="2.375" style="1083" customWidth="1"/>
    <col min="15693" max="15872" width="8" style="1083"/>
    <col min="15873" max="15873" width="3.125" style="1083" customWidth="1"/>
    <col min="15874" max="15883" width="2.375" style="1083" customWidth="1"/>
    <col min="15884" max="15884" width="2.25" style="1083" customWidth="1"/>
    <col min="15885" max="15906" width="2.375" style="1083" customWidth="1"/>
    <col min="15907" max="15907" width="7.375" style="1083" customWidth="1"/>
    <col min="15908" max="15910" width="2.375" style="1083" customWidth="1"/>
    <col min="15911" max="15911" width="4.75" style="1083" customWidth="1"/>
    <col min="15912" max="15912" width="2.375" style="1083" customWidth="1"/>
    <col min="15913" max="15913" width="5.375" style="1083" customWidth="1"/>
    <col min="15914" max="15948" width="2.375" style="1083" customWidth="1"/>
    <col min="15949" max="16128" width="8" style="1083"/>
    <col min="16129" max="16129" width="3.125" style="1083" customWidth="1"/>
    <col min="16130" max="16139" width="2.375" style="1083" customWidth="1"/>
    <col min="16140" max="16140" width="2.25" style="1083" customWidth="1"/>
    <col min="16141" max="16162" width="2.375" style="1083" customWidth="1"/>
    <col min="16163" max="16163" width="7.375" style="1083" customWidth="1"/>
    <col min="16164" max="16166" width="2.375" style="1083" customWidth="1"/>
    <col min="16167" max="16167" width="4.75" style="1083" customWidth="1"/>
    <col min="16168" max="16168" width="2.375" style="1083" customWidth="1"/>
    <col min="16169" max="16169" width="5.375" style="1083" customWidth="1"/>
    <col min="16170" max="16204" width="2.375" style="1083" customWidth="1"/>
    <col min="16205" max="16384" width="8" style="1083"/>
  </cols>
  <sheetData>
    <row r="1" spans="1:41" ht="14.25" customHeight="1">
      <c r="A1" s="1084" t="s">
        <v>722</v>
      </c>
      <c r="B1" s="1084"/>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row>
    <row r="2" spans="1:41" ht="23.25" customHeight="1">
      <c r="A2" s="1086" t="str">
        <f>"令和 "&amp;AO4&amp;" 年度体制整備単価・加算措置活動報告書"</f>
        <v>令和 6 年度体制整備単価・加算措置活動報告書</v>
      </c>
      <c r="B2" s="1086"/>
      <c r="C2" s="1086"/>
      <c r="D2" s="1086"/>
      <c r="E2" s="1086"/>
      <c r="F2" s="1086"/>
      <c r="G2" s="1086"/>
      <c r="H2" s="1086"/>
      <c r="I2" s="1086"/>
      <c r="J2" s="1086"/>
      <c r="K2" s="1086"/>
      <c r="L2" s="1086"/>
      <c r="M2" s="1086"/>
      <c r="N2" s="1086"/>
      <c r="O2" s="1086"/>
      <c r="P2" s="1086"/>
      <c r="Q2" s="1086"/>
      <c r="R2" s="1086"/>
      <c r="S2" s="1086"/>
      <c r="T2" s="1086"/>
      <c r="U2" s="1086"/>
      <c r="V2" s="1086"/>
      <c r="W2" s="1086"/>
      <c r="X2" s="1086"/>
      <c r="Y2" s="1086"/>
      <c r="Z2" s="1086"/>
      <c r="AA2" s="1086"/>
      <c r="AB2" s="1086"/>
      <c r="AC2" s="1086"/>
      <c r="AD2" s="1086"/>
      <c r="AE2" s="1086"/>
      <c r="AF2" s="1086"/>
      <c r="AG2" s="1086"/>
      <c r="AH2" s="1086"/>
      <c r="AI2" s="1086"/>
      <c r="AJ2" s="1086"/>
      <c r="AK2" s="1086"/>
      <c r="AM2" s="1083" t="s">
        <v>328</v>
      </c>
    </row>
    <row r="3" spans="1:41" ht="5.25" customHeight="1">
      <c r="A3" s="1086"/>
      <c r="B3" s="1086"/>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6"/>
      <c r="AI3" s="1086"/>
      <c r="AJ3" s="1086"/>
      <c r="AK3" s="1086"/>
    </row>
    <row r="4" spans="1:41" ht="23.25" customHeight="1">
      <c r="A4" s="1086"/>
      <c r="B4" s="1086"/>
      <c r="C4" s="1086"/>
      <c r="D4" s="1086"/>
      <c r="E4" s="1086"/>
      <c r="F4" s="1086"/>
      <c r="G4" s="1086"/>
      <c r="H4" s="1086"/>
      <c r="I4" s="1086"/>
      <c r="J4" s="1086"/>
      <c r="K4" s="1086"/>
      <c r="L4" s="1086"/>
      <c r="M4" s="1086"/>
      <c r="N4" s="1086"/>
      <c r="O4" s="1086"/>
      <c r="P4" s="1086"/>
      <c r="Q4" s="1086"/>
      <c r="R4" s="1086"/>
      <c r="S4" s="1086"/>
      <c r="T4" s="1086"/>
      <c r="U4" s="1086"/>
      <c r="V4" s="1086"/>
      <c r="W4" s="1086"/>
      <c r="X4" s="1086"/>
      <c r="Y4" s="1120" t="s">
        <v>724</v>
      </c>
      <c r="Z4" s="1120"/>
      <c r="AA4" s="1120"/>
      <c r="AB4" s="1121" t="s">
        <v>752</v>
      </c>
      <c r="AC4" s="1125"/>
      <c r="AD4" s="1125"/>
      <c r="AE4" s="1125"/>
      <c r="AF4" s="1125"/>
      <c r="AG4" s="1125"/>
      <c r="AH4" s="1125"/>
      <c r="AI4" s="1125"/>
      <c r="AJ4" s="1125"/>
      <c r="AK4" s="1127"/>
      <c r="AM4" s="1083" t="s">
        <v>725</v>
      </c>
      <c r="AN4" s="1083" t="s">
        <v>26</v>
      </c>
      <c r="AO4" s="1128">
        <v>6</v>
      </c>
    </row>
    <row r="5" spans="1:41" ht="22.5" customHeight="1">
      <c r="A5" s="1087" t="s">
        <v>726</v>
      </c>
      <c r="B5" s="1087"/>
      <c r="C5" s="1087"/>
      <c r="D5" s="1087"/>
      <c r="E5" s="1087"/>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1087"/>
      <c r="AF5" s="1087"/>
      <c r="AG5" s="1087"/>
      <c r="AH5" s="1087"/>
      <c r="AI5" s="1087"/>
      <c r="AJ5" s="1087"/>
      <c r="AK5" s="1087"/>
    </row>
    <row r="6" spans="1:41" ht="30.75" customHeight="1">
      <c r="A6" s="1087" t="s">
        <v>324</v>
      </c>
      <c r="B6" s="1087"/>
      <c r="C6" s="1087"/>
      <c r="D6" s="1087"/>
      <c r="E6" s="1087"/>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c r="AJ6" s="1087"/>
      <c r="AK6" s="1087"/>
    </row>
    <row r="7" spans="1:41" ht="17.25" customHeight="1">
      <c r="B7" s="1090" t="s">
        <v>727</v>
      </c>
      <c r="C7" s="1090"/>
      <c r="D7" s="1090"/>
      <c r="E7" s="1090" t="s">
        <v>729</v>
      </c>
      <c r="F7" s="1090"/>
      <c r="G7" s="1090"/>
      <c r="H7" s="1090"/>
      <c r="I7" s="1090"/>
      <c r="J7" s="1090"/>
      <c r="K7" s="1090"/>
      <c r="L7" s="1090"/>
      <c r="M7" s="1090"/>
      <c r="N7" s="1090"/>
      <c r="O7" s="1090"/>
      <c r="P7" s="1090"/>
      <c r="Q7" s="1090"/>
      <c r="R7" s="1090"/>
      <c r="S7" s="1090"/>
      <c r="T7" s="1090"/>
      <c r="U7" s="1090"/>
      <c r="V7" s="1090"/>
      <c r="W7" s="1090"/>
      <c r="X7" s="1090"/>
      <c r="Y7" s="1090"/>
      <c r="Z7" s="1090"/>
      <c r="AA7" s="1090"/>
      <c r="AB7" s="1090" t="s">
        <v>614</v>
      </c>
      <c r="AC7" s="1090"/>
      <c r="AD7" s="1090"/>
      <c r="AE7" s="1090"/>
      <c r="AF7" s="1090"/>
      <c r="AG7" s="1090"/>
      <c r="AH7" s="1090"/>
      <c r="AI7" s="1090"/>
      <c r="AJ7" s="1090"/>
    </row>
    <row r="8" spans="1:41" s="1084" customFormat="1" ht="27.95" customHeight="1">
      <c r="A8" s="1084"/>
      <c r="B8" s="1091" t="s">
        <v>328</v>
      </c>
      <c r="C8" s="1091"/>
      <c r="D8" s="1091"/>
      <c r="E8" s="1107" t="s">
        <v>730</v>
      </c>
      <c r="F8" s="1107"/>
      <c r="G8" s="1107"/>
      <c r="H8" s="1107"/>
      <c r="I8" s="1107"/>
      <c r="J8" s="1107"/>
      <c r="K8" s="1107"/>
      <c r="L8" s="1107"/>
      <c r="M8" s="1107"/>
      <c r="N8" s="1107"/>
      <c r="O8" s="1107"/>
      <c r="P8" s="1107"/>
      <c r="Q8" s="1107"/>
      <c r="R8" s="1107"/>
      <c r="S8" s="1107"/>
      <c r="T8" s="1107"/>
      <c r="U8" s="1107"/>
      <c r="V8" s="1107"/>
      <c r="W8" s="1107"/>
      <c r="X8" s="1107"/>
      <c r="Y8" s="1107"/>
      <c r="Z8" s="1107"/>
      <c r="AA8" s="1107"/>
      <c r="AB8" s="1122" t="s">
        <v>754</v>
      </c>
      <c r="AC8" s="1122"/>
      <c r="AD8" s="1122"/>
      <c r="AE8" s="1122"/>
      <c r="AF8" s="1122"/>
      <c r="AG8" s="1122"/>
      <c r="AH8" s="1122"/>
      <c r="AI8" s="1122"/>
      <c r="AJ8" s="1122"/>
      <c r="AK8" s="1084"/>
      <c r="AM8" s="1084"/>
      <c r="AN8" s="1084"/>
      <c r="AO8" s="1084"/>
    </row>
    <row r="9" spans="1:41" s="1084" customFormat="1" ht="27.95" customHeight="1">
      <c r="A9" s="1084"/>
      <c r="B9" s="1092"/>
      <c r="C9" s="1092"/>
      <c r="D9" s="1092"/>
      <c r="E9" s="1108" t="s">
        <v>731</v>
      </c>
      <c r="F9" s="1108"/>
      <c r="G9" s="1108"/>
      <c r="H9" s="1108"/>
      <c r="I9" s="1108"/>
      <c r="J9" s="1108"/>
      <c r="K9" s="1108"/>
      <c r="L9" s="1108"/>
      <c r="M9" s="1108"/>
      <c r="N9" s="1108"/>
      <c r="O9" s="1108"/>
      <c r="P9" s="1108"/>
      <c r="Q9" s="1108"/>
      <c r="R9" s="1108"/>
      <c r="S9" s="1108"/>
      <c r="T9" s="1108"/>
      <c r="U9" s="1108"/>
      <c r="V9" s="1108"/>
      <c r="W9" s="1108"/>
      <c r="X9" s="1108"/>
      <c r="Y9" s="1108"/>
      <c r="Z9" s="1108"/>
      <c r="AA9" s="1108"/>
      <c r="AB9" s="1123"/>
      <c r="AC9" s="1123"/>
      <c r="AD9" s="1123"/>
      <c r="AE9" s="1123"/>
      <c r="AF9" s="1123"/>
      <c r="AG9" s="1123"/>
      <c r="AH9" s="1123"/>
      <c r="AI9" s="1123"/>
      <c r="AJ9" s="1123"/>
      <c r="AK9" s="1084"/>
      <c r="AM9" s="1084"/>
      <c r="AN9" s="1084"/>
      <c r="AO9" s="1084"/>
    </row>
    <row r="10" spans="1:41" s="1084" customFormat="1" ht="27.95" customHeight="1">
      <c r="A10" s="1084"/>
      <c r="B10" s="1092"/>
      <c r="C10" s="1092"/>
      <c r="D10" s="1092"/>
      <c r="E10" s="1108" t="s">
        <v>333</v>
      </c>
      <c r="F10" s="1108"/>
      <c r="G10" s="1108"/>
      <c r="H10" s="1108"/>
      <c r="I10" s="1108"/>
      <c r="J10" s="1108"/>
      <c r="K10" s="1108"/>
      <c r="L10" s="1108"/>
      <c r="M10" s="1108"/>
      <c r="N10" s="1108"/>
      <c r="O10" s="1108"/>
      <c r="P10" s="1108"/>
      <c r="Q10" s="1108"/>
      <c r="R10" s="1108"/>
      <c r="S10" s="1108"/>
      <c r="T10" s="1108"/>
      <c r="U10" s="1108"/>
      <c r="V10" s="1108"/>
      <c r="W10" s="1108"/>
      <c r="X10" s="1108"/>
      <c r="Y10" s="1108"/>
      <c r="Z10" s="1108"/>
      <c r="AA10" s="1108"/>
      <c r="AB10" s="1123"/>
      <c r="AC10" s="1123"/>
      <c r="AD10" s="1123"/>
      <c r="AE10" s="1123"/>
      <c r="AF10" s="1123"/>
      <c r="AG10" s="1123"/>
      <c r="AH10" s="1123"/>
      <c r="AI10" s="1123"/>
      <c r="AJ10" s="1123"/>
      <c r="AK10" s="1084"/>
      <c r="AM10" s="1084"/>
      <c r="AN10" s="1084"/>
      <c r="AO10" s="1084"/>
    </row>
    <row r="11" spans="1:41" s="1084" customFormat="1" ht="27.95" customHeight="1">
      <c r="A11" s="1084"/>
      <c r="B11" s="1093"/>
      <c r="C11" s="1093"/>
      <c r="D11" s="1093"/>
      <c r="E11" s="1109" t="s">
        <v>553</v>
      </c>
      <c r="F11" s="1110"/>
      <c r="G11" s="1110"/>
      <c r="H11" s="1110"/>
      <c r="I11" s="1110"/>
      <c r="J11" s="1110"/>
      <c r="K11" s="1110"/>
      <c r="L11" s="1110"/>
      <c r="M11" s="1110"/>
      <c r="N11" s="1110"/>
      <c r="O11" s="1110"/>
      <c r="P11" s="1110"/>
      <c r="Q11" s="1110"/>
      <c r="R11" s="1110"/>
      <c r="S11" s="1110"/>
      <c r="T11" s="1110"/>
      <c r="U11" s="1110"/>
      <c r="V11" s="1110"/>
      <c r="W11" s="1110"/>
      <c r="X11" s="1110"/>
      <c r="Y11" s="1110"/>
      <c r="Z11" s="1110"/>
      <c r="AA11" s="1110"/>
      <c r="AB11" s="1124"/>
      <c r="AC11" s="1124"/>
      <c r="AD11" s="1124"/>
      <c r="AE11" s="1124"/>
      <c r="AF11" s="1124"/>
      <c r="AG11" s="1124"/>
      <c r="AH11" s="1124"/>
      <c r="AI11" s="1124"/>
      <c r="AJ11" s="1124"/>
      <c r="AK11" s="1084"/>
      <c r="AM11" s="1084"/>
      <c r="AN11" s="1084"/>
      <c r="AO11" s="1084"/>
    </row>
    <row r="12" spans="1:41" ht="25.5" customHeight="1">
      <c r="B12" s="1090" t="s">
        <v>732</v>
      </c>
      <c r="C12" s="1090"/>
      <c r="D12" s="1090"/>
      <c r="E12" s="1090"/>
      <c r="F12" s="1090" t="s">
        <v>733</v>
      </c>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c r="AH12" s="1090"/>
      <c r="AI12" s="1090"/>
      <c r="AJ12" s="1090"/>
    </row>
    <row r="13" spans="1:41" ht="45" customHeight="1">
      <c r="B13" s="1094" t="s">
        <v>159</v>
      </c>
      <c r="C13" s="1094"/>
      <c r="D13" s="1094"/>
      <c r="E13" s="1094"/>
      <c r="F13" s="1130" t="s">
        <v>755</v>
      </c>
      <c r="G13" s="1131"/>
      <c r="H13" s="1131"/>
      <c r="I13" s="1131"/>
      <c r="J13" s="1131"/>
      <c r="K13" s="1131"/>
      <c r="L13" s="1131"/>
      <c r="M13" s="1131"/>
      <c r="N13" s="1131"/>
      <c r="O13" s="1131"/>
      <c r="P13" s="1131"/>
      <c r="Q13" s="1131"/>
      <c r="R13" s="1131"/>
      <c r="S13" s="1131"/>
      <c r="T13" s="1131"/>
      <c r="U13" s="1131"/>
      <c r="V13" s="1131"/>
      <c r="W13" s="1131"/>
      <c r="X13" s="1131"/>
      <c r="Y13" s="1131"/>
      <c r="Z13" s="1131"/>
      <c r="AA13" s="1131"/>
      <c r="AB13" s="1131"/>
      <c r="AC13" s="1131"/>
      <c r="AD13" s="1131"/>
      <c r="AE13" s="1131"/>
      <c r="AF13" s="1131"/>
      <c r="AG13" s="1131"/>
      <c r="AH13" s="1131"/>
      <c r="AI13" s="1131"/>
      <c r="AJ13" s="1131"/>
    </row>
    <row r="14" spans="1:41" ht="45" customHeight="1">
      <c r="B14" s="1095"/>
      <c r="C14" s="1095"/>
      <c r="D14" s="1095"/>
      <c r="E14" s="1095"/>
      <c r="F14" s="1095"/>
      <c r="G14" s="1095"/>
      <c r="H14" s="1095"/>
      <c r="I14" s="1095"/>
      <c r="J14" s="1095"/>
      <c r="K14" s="1095"/>
      <c r="L14" s="1095"/>
      <c r="M14" s="1095"/>
      <c r="N14" s="1095"/>
      <c r="O14" s="1095"/>
      <c r="P14" s="1095"/>
      <c r="Q14" s="1095"/>
      <c r="R14" s="1095"/>
      <c r="S14" s="1095"/>
      <c r="T14" s="1095"/>
      <c r="U14" s="1095"/>
      <c r="V14" s="1095"/>
      <c r="W14" s="1095"/>
      <c r="X14" s="1095"/>
      <c r="Y14" s="1095"/>
      <c r="Z14" s="1095"/>
      <c r="AA14" s="1095"/>
      <c r="AB14" s="1095"/>
      <c r="AC14" s="1095"/>
      <c r="AD14" s="1095"/>
      <c r="AE14" s="1095"/>
      <c r="AF14" s="1095"/>
      <c r="AG14" s="1095"/>
      <c r="AH14" s="1095"/>
      <c r="AI14" s="1095"/>
      <c r="AJ14" s="1095"/>
    </row>
    <row r="15" spans="1:41" ht="45" customHeight="1">
      <c r="B15" s="1096"/>
      <c r="C15" s="1096"/>
      <c r="D15" s="1096"/>
      <c r="E15" s="1096"/>
      <c r="F15" s="1096"/>
      <c r="G15" s="1096"/>
      <c r="H15" s="1096"/>
      <c r="I15" s="1096"/>
      <c r="J15" s="1096"/>
      <c r="K15" s="1096"/>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c r="AG15" s="1096"/>
      <c r="AH15" s="1096"/>
      <c r="AI15" s="1096"/>
      <c r="AJ15" s="1096"/>
    </row>
    <row r="16" spans="1:41" ht="16.5" customHeight="1">
      <c r="B16" s="1097" t="s">
        <v>734</v>
      </c>
      <c r="C16" s="1097"/>
      <c r="D16" s="1097"/>
      <c r="E16" s="1097"/>
      <c r="F16" s="1097"/>
      <c r="G16" s="1097"/>
      <c r="H16" s="1097"/>
      <c r="I16" s="1097"/>
      <c r="J16" s="1097"/>
      <c r="K16" s="1097"/>
      <c r="L16" s="1097"/>
      <c r="M16" s="1097"/>
      <c r="N16" s="1097"/>
      <c r="O16" s="1097"/>
      <c r="P16" s="1097"/>
      <c r="Q16" s="1097"/>
      <c r="R16" s="1097"/>
      <c r="S16" s="1097"/>
      <c r="T16" s="1097"/>
      <c r="U16" s="1097"/>
      <c r="V16" s="1097"/>
      <c r="W16" s="1097"/>
      <c r="X16" s="1097"/>
      <c r="Y16" s="1097"/>
      <c r="Z16" s="1097"/>
      <c r="AA16" s="1097"/>
      <c r="AB16" s="1097"/>
      <c r="AC16" s="1097"/>
      <c r="AD16" s="1097"/>
      <c r="AE16" s="1097"/>
      <c r="AF16" s="1097"/>
      <c r="AG16" s="1097"/>
      <c r="AH16" s="1097"/>
      <c r="AI16" s="1097"/>
      <c r="AJ16" s="1097"/>
    </row>
    <row r="17" spans="1:37" ht="8.25" customHeight="1"/>
    <row r="18" spans="1:37" s="1085" customFormat="1" ht="18.75" customHeight="1">
      <c r="A18" s="1088" t="s">
        <v>735</v>
      </c>
      <c r="B18" s="1088"/>
      <c r="C18" s="1088"/>
      <c r="D18" s="1088"/>
      <c r="E18" s="1088"/>
      <c r="F18" s="1088"/>
      <c r="G18" s="1088"/>
      <c r="H18" s="1088"/>
      <c r="I18" s="1088"/>
      <c r="J18" s="1088"/>
      <c r="K18" s="1088"/>
      <c r="L18" s="1088"/>
      <c r="M18" s="1088"/>
      <c r="N18" s="1088"/>
      <c r="O18" s="1088"/>
      <c r="P18" s="1088"/>
      <c r="Q18" s="1088"/>
      <c r="R18" s="1088"/>
      <c r="S18" s="1088"/>
      <c r="T18" s="1088"/>
      <c r="U18" s="1088"/>
      <c r="V18" s="1088"/>
      <c r="W18" s="1088"/>
      <c r="X18" s="1088"/>
      <c r="Y18" s="1088"/>
      <c r="Z18" s="1088"/>
      <c r="AA18" s="1088"/>
      <c r="AB18" s="1088"/>
      <c r="AC18" s="1088"/>
      <c r="AD18" s="1088"/>
      <c r="AE18" s="1088"/>
      <c r="AF18" s="1088"/>
      <c r="AG18" s="1088"/>
      <c r="AH18" s="1088"/>
      <c r="AI18" s="1088"/>
      <c r="AJ18" s="1088"/>
      <c r="AK18" s="1088"/>
    </row>
    <row r="19" spans="1:37" ht="17.25" customHeight="1">
      <c r="B19" s="1098" t="s">
        <v>736</v>
      </c>
      <c r="C19" s="1105"/>
      <c r="D19" s="1105"/>
      <c r="E19" s="1105"/>
      <c r="F19" s="1105"/>
      <c r="G19" s="1105"/>
      <c r="H19" s="1105"/>
      <c r="I19" s="1105"/>
      <c r="J19" s="1105"/>
      <c r="K19" s="1098" t="s">
        <v>737</v>
      </c>
      <c r="L19" s="1105"/>
      <c r="M19" s="1105"/>
      <c r="N19" s="1105"/>
      <c r="O19" s="1105"/>
      <c r="P19" s="1105"/>
      <c r="Q19" s="1105"/>
      <c r="R19" s="1111"/>
      <c r="S19" s="1098" t="s">
        <v>738</v>
      </c>
      <c r="T19" s="1105"/>
      <c r="U19" s="1105"/>
      <c r="V19" s="1105"/>
      <c r="W19" s="1105"/>
      <c r="X19" s="1105"/>
      <c r="Y19" s="1105"/>
      <c r="Z19" s="1105"/>
      <c r="AA19" s="1105"/>
      <c r="AB19" s="1105"/>
      <c r="AC19" s="1105"/>
      <c r="AD19" s="1105"/>
      <c r="AE19" s="1105"/>
      <c r="AF19" s="1105"/>
      <c r="AG19" s="1105"/>
      <c r="AH19" s="1105"/>
      <c r="AI19" s="1111"/>
    </row>
    <row r="20" spans="1:37" s="1084" customFormat="1" ht="45" customHeight="1">
      <c r="A20" s="1084"/>
      <c r="B20" s="1129" t="s">
        <v>757</v>
      </c>
      <c r="C20" s="1120"/>
      <c r="D20" s="1120"/>
      <c r="E20" s="1120"/>
      <c r="F20" s="1120"/>
      <c r="G20" s="1120"/>
      <c r="H20" s="1120"/>
      <c r="I20" s="1120"/>
      <c r="J20" s="1120"/>
      <c r="K20" s="1132" t="s">
        <v>758</v>
      </c>
      <c r="L20" s="1133"/>
      <c r="M20" s="1133"/>
      <c r="N20" s="1133"/>
      <c r="O20" s="1133"/>
      <c r="P20" s="1133"/>
      <c r="Q20" s="1133"/>
      <c r="R20" s="1134"/>
      <c r="S20" s="1135" t="s">
        <v>593</v>
      </c>
      <c r="T20" s="1136"/>
      <c r="U20" s="1136"/>
      <c r="V20" s="1136"/>
      <c r="W20" s="1136"/>
      <c r="X20" s="1136"/>
      <c r="Y20" s="1136"/>
      <c r="Z20" s="1136"/>
      <c r="AA20" s="1136"/>
      <c r="AB20" s="1136"/>
      <c r="AC20" s="1136"/>
      <c r="AD20" s="1136"/>
      <c r="AE20" s="1136"/>
      <c r="AF20" s="1136"/>
      <c r="AG20" s="1136"/>
      <c r="AH20" s="1136"/>
      <c r="AI20" s="1142"/>
      <c r="AJ20" s="1084"/>
      <c r="AK20" s="1084"/>
    </row>
    <row r="21" spans="1:37" s="1084" customFormat="1" ht="45" customHeight="1">
      <c r="A21" s="1084"/>
      <c r="B21" s="1090"/>
      <c r="C21" s="1090"/>
      <c r="D21" s="1090"/>
      <c r="E21" s="1090"/>
      <c r="F21" s="1090"/>
      <c r="G21" s="1090"/>
      <c r="H21" s="1090"/>
      <c r="I21" s="1090"/>
      <c r="J21" s="1090"/>
      <c r="K21" s="1114"/>
      <c r="L21" s="1116"/>
      <c r="M21" s="1116"/>
      <c r="N21" s="1116"/>
      <c r="O21" s="1116"/>
      <c r="P21" s="1116"/>
      <c r="Q21" s="1116"/>
      <c r="R21" s="1117"/>
      <c r="S21" s="1118"/>
      <c r="T21" s="1119"/>
      <c r="U21" s="1119"/>
      <c r="V21" s="1119"/>
      <c r="W21" s="1119"/>
      <c r="X21" s="1119"/>
      <c r="Y21" s="1119"/>
      <c r="Z21" s="1119"/>
      <c r="AA21" s="1119"/>
      <c r="AB21" s="1119"/>
      <c r="AC21" s="1119"/>
      <c r="AD21" s="1119"/>
      <c r="AE21" s="1119"/>
      <c r="AF21" s="1119"/>
      <c r="AG21" s="1119"/>
      <c r="AH21" s="1119"/>
      <c r="AI21" s="1126"/>
      <c r="AJ21" s="1084"/>
      <c r="AK21" s="1084"/>
    </row>
    <row r="22" spans="1:37" s="1084" customFormat="1" ht="45" customHeight="1">
      <c r="A22" s="1084"/>
      <c r="B22" s="1098"/>
      <c r="C22" s="1105"/>
      <c r="D22" s="1105"/>
      <c r="E22" s="1105"/>
      <c r="F22" s="1105"/>
      <c r="G22" s="1105"/>
      <c r="H22" s="1105"/>
      <c r="I22" s="1105"/>
      <c r="J22" s="1111"/>
      <c r="K22" s="1114"/>
      <c r="L22" s="1116"/>
      <c r="M22" s="1116"/>
      <c r="N22" s="1116"/>
      <c r="O22" s="1116"/>
      <c r="P22" s="1116"/>
      <c r="Q22" s="1116"/>
      <c r="R22" s="1117"/>
      <c r="S22" s="1118"/>
      <c r="T22" s="1119"/>
      <c r="U22" s="1119"/>
      <c r="V22" s="1119"/>
      <c r="W22" s="1119"/>
      <c r="X22" s="1119"/>
      <c r="Y22" s="1119"/>
      <c r="Z22" s="1119"/>
      <c r="AA22" s="1119"/>
      <c r="AB22" s="1119"/>
      <c r="AC22" s="1119"/>
      <c r="AD22" s="1119"/>
      <c r="AE22" s="1119"/>
      <c r="AF22" s="1119"/>
      <c r="AG22" s="1119"/>
      <c r="AH22" s="1119"/>
      <c r="AI22" s="1126"/>
      <c r="AJ22" s="1084"/>
      <c r="AK22" s="1084"/>
    </row>
    <row r="23" spans="1:37" s="1084" customFormat="1" ht="13.5">
      <c r="A23" s="1084"/>
      <c r="B23" s="1099" t="s">
        <v>739</v>
      </c>
      <c r="C23" s="1099"/>
      <c r="D23" s="1099"/>
      <c r="E23" s="1099"/>
      <c r="F23" s="1099"/>
      <c r="G23" s="1099"/>
      <c r="H23" s="1099"/>
      <c r="I23" s="1099"/>
      <c r="J23" s="1099"/>
      <c r="K23" s="1099"/>
      <c r="L23" s="1099"/>
      <c r="M23" s="1099"/>
      <c r="N23" s="1099"/>
      <c r="O23" s="1099"/>
      <c r="P23" s="1099"/>
      <c r="Q23" s="1099"/>
      <c r="R23" s="1099"/>
      <c r="S23" s="1099"/>
      <c r="T23" s="1099"/>
      <c r="U23" s="1099"/>
      <c r="V23" s="1099"/>
      <c r="W23" s="1099"/>
      <c r="X23" s="1099"/>
      <c r="Y23" s="1099"/>
      <c r="Z23" s="1099"/>
      <c r="AA23" s="1099"/>
      <c r="AB23" s="1099"/>
      <c r="AC23" s="1099"/>
      <c r="AD23" s="1099"/>
      <c r="AE23" s="1099"/>
      <c r="AF23" s="1099"/>
      <c r="AG23" s="1099"/>
      <c r="AH23" s="1099"/>
      <c r="AI23" s="1099"/>
      <c r="AJ23" s="1084"/>
      <c r="AK23" s="1084"/>
    </row>
    <row r="24" spans="1:37" ht="13.5">
      <c r="B24" s="1100"/>
      <c r="C24" s="1100"/>
      <c r="D24" s="1100"/>
      <c r="E24" s="1100"/>
      <c r="F24" s="1100"/>
      <c r="G24" s="1100"/>
      <c r="H24" s="1100"/>
      <c r="I24" s="1100"/>
      <c r="J24" s="1112"/>
      <c r="K24" s="1112"/>
      <c r="L24" s="1112"/>
      <c r="M24" s="1112"/>
      <c r="N24" s="1112"/>
      <c r="O24" s="1112"/>
      <c r="P24" s="1112"/>
      <c r="Q24" s="1112"/>
      <c r="R24" s="1112"/>
      <c r="S24" s="1112"/>
      <c r="T24" s="1112"/>
      <c r="U24" s="1112"/>
      <c r="V24" s="1112"/>
      <c r="W24" s="1112"/>
      <c r="X24" s="1112"/>
      <c r="Y24" s="1112"/>
      <c r="Z24" s="1112"/>
      <c r="AA24" s="1112"/>
      <c r="AB24" s="1112"/>
      <c r="AC24" s="1112"/>
      <c r="AD24" s="1112"/>
      <c r="AE24" s="1112"/>
      <c r="AF24" s="1112"/>
      <c r="AG24" s="1112"/>
      <c r="AH24" s="1112"/>
      <c r="AI24" s="1112"/>
    </row>
    <row r="25" spans="1:37" ht="27.75" customHeight="1">
      <c r="A25" s="1089" t="s">
        <v>741</v>
      </c>
      <c r="B25" s="1089"/>
      <c r="C25" s="1089"/>
      <c r="D25" s="1089"/>
      <c r="E25" s="1089"/>
      <c r="F25" s="1089"/>
      <c r="G25" s="1089"/>
      <c r="H25" s="1089"/>
      <c r="I25" s="1089"/>
      <c r="J25" s="1089"/>
      <c r="K25" s="1089"/>
      <c r="L25" s="1089"/>
      <c r="M25" s="1089"/>
      <c r="N25" s="1089"/>
      <c r="O25" s="1089"/>
      <c r="P25" s="1089"/>
      <c r="Q25" s="1089"/>
      <c r="R25" s="1089"/>
      <c r="S25" s="1089"/>
      <c r="T25" s="1089"/>
      <c r="U25" s="1089"/>
      <c r="V25" s="1089"/>
      <c r="W25" s="1089"/>
      <c r="X25" s="1089"/>
      <c r="Y25" s="1089"/>
      <c r="Z25" s="1089"/>
      <c r="AA25" s="1089"/>
      <c r="AB25" s="1089"/>
      <c r="AC25" s="1089"/>
      <c r="AD25" s="1089"/>
      <c r="AE25" s="1089"/>
      <c r="AF25" s="1089"/>
      <c r="AG25" s="1089"/>
      <c r="AH25" s="1089"/>
      <c r="AI25" s="1089"/>
      <c r="AJ25" s="1089"/>
      <c r="AK25" s="1089"/>
    </row>
    <row r="26" spans="1:37" ht="13.5">
      <c r="A26" s="1089"/>
      <c r="B26" s="1089" t="s">
        <v>517</v>
      </c>
      <c r="C26" s="1089"/>
      <c r="D26" s="1089"/>
      <c r="E26" s="1089"/>
      <c r="F26" s="1089"/>
      <c r="G26" s="1089"/>
      <c r="H26" s="1089"/>
      <c r="I26" s="1089"/>
      <c r="J26" s="1089"/>
      <c r="K26" s="1089"/>
      <c r="L26" s="1089"/>
      <c r="M26" s="1089"/>
      <c r="N26" s="1089"/>
      <c r="O26" s="1089"/>
      <c r="P26" s="1089"/>
      <c r="Q26" s="1089"/>
      <c r="R26" s="1089"/>
      <c r="S26" s="1089"/>
      <c r="T26" s="1089"/>
      <c r="U26" s="1089"/>
      <c r="V26" s="1089"/>
      <c r="W26" s="1089"/>
      <c r="X26" s="1089"/>
      <c r="Y26" s="1089"/>
      <c r="Z26" s="1089"/>
      <c r="AA26" s="1089"/>
      <c r="AB26" s="1089"/>
      <c r="AC26" s="1089"/>
      <c r="AD26" s="1089"/>
      <c r="AE26" s="1089"/>
      <c r="AF26" s="1089"/>
      <c r="AG26" s="1089"/>
      <c r="AH26" s="1089"/>
      <c r="AI26" s="1089"/>
      <c r="AJ26" s="1089"/>
      <c r="AK26" s="1089"/>
    </row>
    <row r="27" spans="1:37" ht="17.25" customHeight="1">
      <c r="B27" s="1098" t="s">
        <v>663</v>
      </c>
      <c r="C27" s="1105"/>
      <c r="D27" s="1105"/>
      <c r="E27" s="1105"/>
      <c r="F27" s="1105"/>
      <c r="G27" s="1105"/>
      <c r="H27" s="1105"/>
      <c r="I27" s="1105"/>
      <c r="J27" s="1105"/>
      <c r="K27" s="1115" t="s">
        <v>742</v>
      </c>
      <c r="L27" s="1115"/>
      <c r="M27" s="1115"/>
      <c r="N27" s="1115"/>
      <c r="O27" s="1115"/>
      <c r="P27" s="1115"/>
      <c r="Q27" s="1115"/>
      <c r="R27" s="1115"/>
      <c r="S27" s="1115"/>
      <c r="T27" s="1115"/>
      <c r="U27" s="1115"/>
      <c r="V27" s="1115"/>
      <c r="W27" s="1115" t="s">
        <v>604</v>
      </c>
      <c r="X27" s="1115"/>
      <c r="Y27" s="1115"/>
      <c r="Z27" s="1115"/>
      <c r="AA27" s="1115"/>
      <c r="AB27" s="1115"/>
      <c r="AC27" s="1115"/>
      <c r="AD27" s="1115"/>
      <c r="AE27" s="1115"/>
      <c r="AF27" s="1115"/>
      <c r="AG27" s="1115"/>
      <c r="AH27" s="1115"/>
      <c r="AI27" s="1115"/>
    </row>
    <row r="28" spans="1:37" s="1084" customFormat="1" ht="80.099999999999994" customHeight="1">
      <c r="A28" s="1084"/>
      <c r="B28" s="1101" t="s">
        <v>62</v>
      </c>
      <c r="C28" s="1101"/>
      <c r="D28" s="1101"/>
      <c r="E28" s="1101"/>
      <c r="F28" s="1101"/>
      <c r="G28" s="1101"/>
      <c r="H28" s="1101"/>
      <c r="I28" s="1101"/>
      <c r="J28" s="1101"/>
      <c r="K28" s="1115" t="s">
        <v>759</v>
      </c>
      <c r="L28" s="1115"/>
      <c r="M28" s="1115"/>
      <c r="N28" s="1115"/>
      <c r="O28" s="1115"/>
      <c r="P28" s="1115"/>
      <c r="Q28" s="1115"/>
      <c r="R28" s="1115"/>
      <c r="S28" s="1115"/>
      <c r="T28" s="1115"/>
      <c r="U28" s="1115"/>
      <c r="V28" s="1115"/>
      <c r="W28" s="1137" t="s">
        <v>760</v>
      </c>
      <c r="X28" s="1139"/>
      <c r="Y28" s="1139"/>
      <c r="Z28" s="1139"/>
      <c r="AA28" s="1139"/>
      <c r="AB28" s="1139"/>
      <c r="AC28" s="1139"/>
      <c r="AD28" s="1139"/>
      <c r="AE28" s="1139"/>
      <c r="AF28" s="1139"/>
      <c r="AG28" s="1139"/>
      <c r="AH28" s="1139"/>
      <c r="AI28" s="1139"/>
      <c r="AJ28" s="1084"/>
      <c r="AK28" s="1084"/>
    </row>
    <row r="29" spans="1:37" s="1084" customFormat="1" ht="80.099999999999994" customHeight="1">
      <c r="A29" s="1084"/>
      <c r="B29" s="1102" t="s">
        <v>131</v>
      </c>
      <c r="C29" s="1106"/>
      <c r="D29" s="1106"/>
      <c r="E29" s="1106"/>
      <c r="F29" s="1106"/>
      <c r="G29" s="1106"/>
      <c r="H29" s="1106"/>
      <c r="I29" s="1106"/>
      <c r="J29" s="1113"/>
      <c r="K29" s="1102" t="s">
        <v>637</v>
      </c>
      <c r="L29" s="1106"/>
      <c r="M29" s="1106"/>
      <c r="N29" s="1106"/>
      <c r="O29" s="1106"/>
      <c r="P29" s="1106"/>
      <c r="Q29" s="1106"/>
      <c r="R29" s="1106"/>
      <c r="S29" s="1106"/>
      <c r="T29" s="1106"/>
      <c r="U29" s="1106"/>
      <c r="V29" s="1113"/>
      <c r="W29" s="1138" t="s">
        <v>761</v>
      </c>
      <c r="X29" s="1140"/>
      <c r="Y29" s="1140"/>
      <c r="Z29" s="1140"/>
      <c r="AA29" s="1140"/>
      <c r="AB29" s="1140"/>
      <c r="AC29" s="1140"/>
      <c r="AD29" s="1140"/>
      <c r="AE29" s="1140"/>
      <c r="AF29" s="1140"/>
      <c r="AG29" s="1140"/>
      <c r="AH29" s="1140"/>
      <c r="AI29" s="1143"/>
      <c r="AJ29" s="1084"/>
      <c r="AK29" s="1084"/>
    </row>
    <row r="30" spans="1:37" ht="13.5">
      <c r="B30" s="1099" t="s">
        <v>743</v>
      </c>
      <c r="C30" s="1099"/>
      <c r="D30" s="1099"/>
      <c r="E30" s="1099"/>
      <c r="F30" s="1099"/>
      <c r="G30" s="1099"/>
      <c r="H30" s="1099"/>
      <c r="I30" s="1099"/>
      <c r="J30" s="1099"/>
      <c r="K30" s="1099"/>
      <c r="L30" s="1099"/>
      <c r="M30" s="1099"/>
      <c r="N30" s="1099"/>
      <c r="O30" s="1099"/>
      <c r="P30" s="1099"/>
      <c r="Q30" s="1099"/>
      <c r="R30" s="1099"/>
      <c r="S30" s="1099"/>
      <c r="T30" s="1099"/>
      <c r="U30" s="1099"/>
      <c r="V30" s="1099"/>
      <c r="W30" s="1099"/>
      <c r="X30" s="1099"/>
      <c r="Y30" s="1099"/>
      <c r="Z30" s="1099"/>
      <c r="AA30" s="1099"/>
      <c r="AB30" s="1099"/>
      <c r="AC30" s="1099"/>
      <c r="AD30" s="1099"/>
      <c r="AE30" s="1099"/>
      <c r="AF30" s="1099"/>
      <c r="AG30" s="1099"/>
      <c r="AH30" s="1099"/>
      <c r="AI30" s="1099"/>
    </row>
    <row r="31" spans="1:37">
      <c r="B31" s="1103"/>
      <c r="C31" s="1103"/>
      <c r="D31" s="1103"/>
      <c r="E31" s="1103"/>
      <c r="F31" s="1103"/>
      <c r="G31" s="1103"/>
      <c r="H31" s="1103"/>
      <c r="I31" s="1103"/>
      <c r="J31" s="1103"/>
      <c r="K31" s="1103"/>
      <c r="L31" s="1103"/>
      <c r="M31" s="1103"/>
      <c r="N31" s="1103"/>
      <c r="O31" s="1103"/>
      <c r="P31" s="1103"/>
      <c r="Q31" s="1103"/>
      <c r="R31" s="1103"/>
      <c r="S31" s="1103"/>
      <c r="T31" s="1103"/>
      <c r="U31" s="1103"/>
      <c r="V31" s="1103"/>
      <c r="W31" s="1103"/>
      <c r="X31" s="1103"/>
      <c r="Y31" s="1103"/>
      <c r="Z31" s="1103"/>
      <c r="AA31" s="1103"/>
      <c r="AB31" s="1103"/>
      <c r="AC31" s="1103"/>
      <c r="AD31" s="1103"/>
      <c r="AE31" s="1103"/>
      <c r="AF31" s="1103"/>
      <c r="AG31" s="1103"/>
      <c r="AH31" s="1103"/>
      <c r="AI31" s="1103"/>
    </row>
    <row r="32" spans="1:37" ht="13.5">
      <c r="A32" s="1089"/>
      <c r="B32" s="1089" t="s">
        <v>745</v>
      </c>
      <c r="C32" s="1089"/>
      <c r="D32" s="1089"/>
      <c r="E32" s="1089"/>
      <c r="F32" s="1089"/>
      <c r="G32" s="1089"/>
      <c r="H32" s="1089"/>
      <c r="I32" s="1089"/>
      <c r="J32" s="1089"/>
      <c r="K32" s="1089"/>
      <c r="L32" s="1089"/>
      <c r="M32" s="1089"/>
      <c r="N32" s="1089"/>
      <c r="O32" s="1089"/>
      <c r="P32" s="1089"/>
      <c r="Q32" s="1089"/>
      <c r="R32" s="1089"/>
      <c r="S32" s="1089"/>
      <c r="T32" s="1089"/>
      <c r="U32" s="1089"/>
      <c r="V32" s="1089"/>
      <c r="W32" s="1089"/>
      <c r="X32" s="1089"/>
      <c r="Y32" s="1089"/>
      <c r="Z32" s="1089"/>
      <c r="AA32" s="1089"/>
      <c r="AB32" s="1089"/>
      <c r="AC32" s="1089"/>
      <c r="AD32" s="1089"/>
      <c r="AE32" s="1089"/>
      <c r="AF32" s="1089"/>
      <c r="AG32" s="1089"/>
      <c r="AH32" s="1089"/>
      <c r="AI32" s="1089"/>
      <c r="AJ32" s="1089"/>
      <c r="AK32" s="1089"/>
    </row>
    <row r="33" spans="1:37" ht="17.25" customHeight="1">
      <c r="B33" s="1098" t="s">
        <v>663</v>
      </c>
      <c r="C33" s="1105"/>
      <c r="D33" s="1105"/>
      <c r="E33" s="1105"/>
      <c r="F33" s="1105"/>
      <c r="G33" s="1105"/>
      <c r="H33" s="1105"/>
      <c r="I33" s="1105"/>
      <c r="J33" s="1105"/>
      <c r="K33" s="1115" t="s">
        <v>742</v>
      </c>
      <c r="L33" s="1115"/>
      <c r="M33" s="1115"/>
      <c r="N33" s="1115"/>
      <c r="O33" s="1115"/>
      <c r="P33" s="1115"/>
      <c r="Q33" s="1115"/>
      <c r="R33" s="1115"/>
      <c r="S33" s="1115"/>
      <c r="T33" s="1115"/>
      <c r="U33" s="1115"/>
      <c r="V33" s="1115"/>
      <c r="W33" s="1115" t="s">
        <v>604</v>
      </c>
      <c r="X33" s="1115"/>
      <c r="Y33" s="1115"/>
      <c r="Z33" s="1115"/>
      <c r="AA33" s="1115"/>
      <c r="AB33" s="1115"/>
      <c r="AC33" s="1115"/>
      <c r="AD33" s="1115"/>
      <c r="AE33" s="1115"/>
      <c r="AF33" s="1115"/>
      <c r="AG33" s="1115"/>
      <c r="AH33" s="1115"/>
      <c r="AI33" s="1115"/>
    </row>
    <row r="34" spans="1:37" s="1084" customFormat="1" ht="80.099999999999994" customHeight="1">
      <c r="A34" s="1084"/>
      <c r="B34" s="1104" t="s">
        <v>238</v>
      </c>
      <c r="C34" s="1104"/>
      <c r="D34" s="1104"/>
      <c r="E34" s="1104"/>
      <c r="F34" s="1104"/>
      <c r="G34" s="1104"/>
      <c r="H34" s="1104"/>
      <c r="I34" s="1104"/>
      <c r="J34" s="1104"/>
      <c r="K34" s="1104" t="s">
        <v>76</v>
      </c>
      <c r="L34" s="1104"/>
      <c r="M34" s="1104"/>
      <c r="N34" s="1104"/>
      <c r="O34" s="1104"/>
      <c r="P34" s="1104"/>
      <c r="Q34" s="1104"/>
      <c r="R34" s="1104"/>
      <c r="S34" s="1104"/>
      <c r="T34" s="1104"/>
      <c r="U34" s="1104"/>
      <c r="V34" s="1104"/>
      <c r="W34" s="1137" t="s">
        <v>762</v>
      </c>
      <c r="X34" s="1141"/>
      <c r="Y34" s="1141"/>
      <c r="Z34" s="1141"/>
      <c r="AA34" s="1141"/>
      <c r="AB34" s="1141"/>
      <c r="AC34" s="1141"/>
      <c r="AD34" s="1141"/>
      <c r="AE34" s="1141"/>
      <c r="AF34" s="1141"/>
      <c r="AG34" s="1141"/>
      <c r="AH34" s="1141"/>
      <c r="AI34" s="1141"/>
      <c r="AJ34" s="1084"/>
      <c r="AK34" s="1084"/>
    </row>
    <row r="35" spans="1:37" s="1084" customFormat="1" ht="80.099999999999994" customHeight="1">
      <c r="A35" s="1084"/>
      <c r="B35" s="1102" t="s">
        <v>747</v>
      </c>
      <c r="C35" s="1106"/>
      <c r="D35" s="1106"/>
      <c r="E35" s="1106"/>
      <c r="F35" s="1106"/>
      <c r="G35" s="1106"/>
      <c r="H35" s="1106"/>
      <c r="I35" s="1106"/>
      <c r="J35" s="1113"/>
      <c r="K35" s="1102" t="s">
        <v>763</v>
      </c>
      <c r="L35" s="1106"/>
      <c r="M35" s="1106"/>
      <c r="N35" s="1106"/>
      <c r="O35" s="1106"/>
      <c r="P35" s="1106"/>
      <c r="Q35" s="1106"/>
      <c r="R35" s="1106"/>
      <c r="S35" s="1106"/>
      <c r="T35" s="1106"/>
      <c r="U35" s="1106"/>
      <c r="V35" s="1113"/>
      <c r="W35" s="1138" t="s">
        <v>383</v>
      </c>
      <c r="X35" s="1106"/>
      <c r="Y35" s="1106"/>
      <c r="Z35" s="1106"/>
      <c r="AA35" s="1106"/>
      <c r="AB35" s="1106"/>
      <c r="AC35" s="1106"/>
      <c r="AD35" s="1106"/>
      <c r="AE35" s="1106"/>
      <c r="AF35" s="1106"/>
      <c r="AG35" s="1106"/>
      <c r="AH35" s="1106"/>
      <c r="AI35" s="1113"/>
      <c r="AJ35" s="1084"/>
      <c r="AK35" s="1084"/>
    </row>
    <row r="36" spans="1:37" ht="13.5">
      <c r="B36" s="1099" t="s">
        <v>734</v>
      </c>
      <c r="C36" s="1099"/>
      <c r="D36" s="1099"/>
      <c r="E36" s="1099"/>
      <c r="F36" s="1099"/>
      <c r="G36" s="1099"/>
      <c r="H36" s="1099"/>
      <c r="I36" s="1099"/>
      <c r="J36" s="1099"/>
      <c r="K36" s="1099"/>
      <c r="L36" s="1099"/>
      <c r="M36" s="1099"/>
      <c r="N36" s="1099"/>
      <c r="O36" s="1099"/>
      <c r="P36" s="1099"/>
      <c r="Q36" s="1099"/>
      <c r="R36" s="1099"/>
      <c r="S36" s="1099"/>
      <c r="T36" s="1099"/>
      <c r="U36" s="1099"/>
      <c r="V36" s="1099"/>
      <c r="W36" s="1099"/>
      <c r="X36" s="1099"/>
      <c r="Y36" s="1099"/>
      <c r="Z36" s="1099"/>
      <c r="AA36" s="1099"/>
      <c r="AB36" s="1099"/>
      <c r="AC36" s="1099"/>
      <c r="AD36" s="1099"/>
      <c r="AE36" s="1099"/>
      <c r="AF36" s="1099"/>
      <c r="AG36" s="1099"/>
      <c r="AH36" s="1099"/>
      <c r="AI36" s="1099"/>
    </row>
    <row r="37" spans="1:37">
      <c r="B37" s="1103"/>
      <c r="C37" s="1103"/>
      <c r="D37" s="1103"/>
      <c r="E37" s="1103"/>
      <c r="F37" s="1103"/>
      <c r="G37" s="1103"/>
      <c r="H37" s="1103"/>
      <c r="I37" s="1103"/>
      <c r="J37" s="1103"/>
      <c r="K37" s="1103"/>
      <c r="L37" s="1103"/>
      <c r="M37" s="1103"/>
      <c r="N37" s="1103"/>
      <c r="O37" s="1103"/>
      <c r="P37" s="1103"/>
      <c r="Q37" s="1103"/>
      <c r="R37" s="1103"/>
      <c r="S37" s="1103"/>
      <c r="T37" s="1103"/>
      <c r="U37" s="1103"/>
      <c r="V37" s="1103"/>
      <c r="W37" s="1103"/>
      <c r="X37" s="1103"/>
      <c r="Y37" s="1103"/>
      <c r="Z37" s="1103"/>
      <c r="AA37" s="1103"/>
      <c r="AB37" s="1103"/>
      <c r="AC37" s="1103"/>
      <c r="AD37" s="1103"/>
      <c r="AE37" s="1103"/>
      <c r="AF37" s="1103"/>
      <c r="AG37" s="1103"/>
      <c r="AH37" s="1103"/>
      <c r="AI37" s="1103"/>
    </row>
    <row r="38" spans="1:37" ht="13.5">
      <c r="A38" s="1089"/>
      <c r="B38" s="1089" t="s">
        <v>749</v>
      </c>
      <c r="C38" s="1089"/>
      <c r="D38" s="1089"/>
      <c r="E38" s="1089"/>
      <c r="F38" s="1089"/>
      <c r="G38" s="1089"/>
      <c r="H38" s="1089"/>
      <c r="I38" s="1089"/>
      <c r="J38" s="1089"/>
      <c r="K38" s="1089"/>
      <c r="L38" s="1089"/>
      <c r="M38" s="1089"/>
      <c r="N38" s="1089"/>
      <c r="O38" s="1089"/>
      <c r="P38" s="1089"/>
      <c r="Q38" s="1089"/>
      <c r="R38" s="1089"/>
      <c r="S38" s="1089"/>
      <c r="T38" s="1089"/>
      <c r="U38" s="1089"/>
      <c r="V38" s="1089"/>
      <c r="W38" s="1089"/>
      <c r="X38" s="1089"/>
      <c r="Y38" s="1089"/>
      <c r="Z38" s="1089"/>
      <c r="AA38" s="1089"/>
      <c r="AB38" s="1089"/>
      <c r="AC38" s="1089"/>
      <c r="AD38" s="1089"/>
      <c r="AE38" s="1089"/>
      <c r="AF38" s="1089"/>
      <c r="AG38" s="1089"/>
      <c r="AH38" s="1089"/>
      <c r="AI38" s="1089"/>
      <c r="AJ38" s="1089"/>
      <c r="AK38" s="1089"/>
    </row>
    <row r="39" spans="1:37" ht="17.25" customHeight="1">
      <c r="B39" s="1098" t="s">
        <v>663</v>
      </c>
      <c r="C39" s="1105"/>
      <c r="D39" s="1105"/>
      <c r="E39" s="1105"/>
      <c r="F39" s="1105"/>
      <c r="G39" s="1105"/>
      <c r="H39" s="1105"/>
      <c r="I39" s="1105"/>
      <c r="J39" s="1105"/>
      <c r="K39" s="1115" t="s">
        <v>742</v>
      </c>
      <c r="L39" s="1115"/>
      <c r="M39" s="1115"/>
      <c r="N39" s="1115"/>
      <c r="O39" s="1115"/>
      <c r="P39" s="1115"/>
      <c r="Q39" s="1115"/>
      <c r="R39" s="1115"/>
      <c r="S39" s="1115"/>
      <c r="T39" s="1115"/>
      <c r="U39" s="1115"/>
      <c r="V39" s="1115"/>
      <c r="W39" s="1115" t="s">
        <v>604</v>
      </c>
      <c r="X39" s="1115"/>
      <c r="Y39" s="1115"/>
      <c r="Z39" s="1115"/>
      <c r="AA39" s="1115"/>
      <c r="AB39" s="1115"/>
      <c r="AC39" s="1115"/>
      <c r="AD39" s="1115"/>
      <c r="AE39" s="1115"/>
      <c r="AF39" s="1115"/>
      <c r="AG39" s="1115"/>
      <c r="AH39" s="1115"/>
      <c r="AI39" s="1115"/>
    </row>
    <row r="40" spans="1:37" s="1084" customFormat="1" ht="80.099999999999994" customHeight="1">
      <c r="A40" s="1084"/>
      <c r="B40" s="1104" t="s">
        <v>238</v>
      </c>
      <c r="C40" s="1104"/>
      <c r="D40" s="1104"/>
      <c r="E40" s="1104"/>
      <c r="F40" s="1104"/>
      <c r="G40" s="1104"/>
      <c r="H40" s="1104"/>
      <c r="I40" s="1104"/>
      <c r="J40" s="1104"/>
      <c r="K40" s="1104" t="s">
        <v>765</v>
      </c>
      <c r="L40" s="1104"/>
      <c r="M40" s="1104"/>
      <c r="N40" s="1104"/>
      <c r="O40" s="1104"/>
      <c r="P40" s="1104"/>
      <c r="Q40" s="1104"/>
      <c r="R40" s="1104"/>
      <c r="S40" s="1104"/>
      <c r="T40" s="1104"/>
      <c r="U40" s="1104"/>
      <c r="V40" s="1104"/>
      <c r="W40" s="1137" t="s">
        <v>766</v>
      </c>
      <c r="X40" s="1104"/>
      <c r="Y40" s="1104"/>
      <c r="Z40" s="1104"/>
      <c r="AA40" s="1104"/>
      <c r="AB40" s="1104"/>
      <c r="AC40" s="1104"/>
      <c r="AD40" s="1104"/>
      <c r="AE40" s="1104"/>
      <c r="AF40" s="1104"/>
      <c r="AG40" s="1104"/>
      <c r="AH40" s="1104"/>
      <c r="AI40" s="1104"/>
      <c r="AJ40" s="1084"/>
      <c r="AK40" s="1084"/>
    </row>
    <row r="41" spans="1:37" s="1084" customFormat="1" ht="80.099999999999994" customHeight="1">
      <c r="A41" s="1084"/>
      <c r="B41" s="1102" t="s">
        <v>750</v>
      </c>
      <c r="C41" s="1106"/>
      <c r="D41" s="1106"/>
      <c r="E41" s="1106"/>
      <c r="F41" s="1106"/>
      <c r="G41" s="1106"/>
      <c r="H41" s="1106"/>
      <c r="I41" s="1106"/>
      <c r="J41" s="1113"/>
      <c r="K41" s="1102" t="s">
        <v>767</v>
      </c>
      <c r="L41" s="1106"/>
      <c r="M41" s="1106"/>
      <c r="N41" s="1106"/>
      <c r="O41" s="1106"/>
      <c r="P41" s="1106"/>
      <c r="Q41" s="1106"/>
      <c r="R41" s="1106"/>
      <c r="S41" s="1106"/>
      <c r="T41" s="1106"/>
      <c r="U41" s="1106"/>
      <c r="V41" s="1113"/>
      <c r="W41" s="1138" t="s">
        <v>439</v>
      </c>
      <c r="X41" s="1106"/>
      <c r="Y41" s="1106"/>
      <c r="Z41" s="1106"/>
      <c r="AA41" s="1106"/>
      <c r="AB41" s="1106"/>
      <c r="AC41" s="1106"/>
      <c r="AD41" s="1106"/>
      <c r="AE41" s="1106"/>
      <c r="AF41" s="1106"/>
      <c r="AG41" s="1106"/>
      <c r="AH41" s="1106"/>
      <c r="AI41" s="1113"/>
      <c r="AJ41" s="1084"/>
      <c r="AK41" s="1084"/>
    </row>
    <row r="42" spans="1:37" ht="13.5" customHeight="1">
      <c r="B42" s="1099" t="s">
        <v>734</v>
      </c>
      <c r="C42" s="1099"/>
      <c r="D42" s="1099"/>
      <c r="E42" s="1099"/>
      <c r="F42" s="1099"/>
      <c r="G42" s="1099"/>
      <c r="H42" s="1099"/>
      <c r="I42" s="1099"/>
      <c r="J42" s="1099"/>
      <c r="K42" s="1099"/>
      <c r="L42" s="1099"/>
      <c r="M42" s="1099"/>
      <c r="N42" s="1099"/>
      <c r="O42" s="1099"/>
      <c r="P42" s="1099"/>
      <c r="Q42" s="1099"/>
      <c r="R42" s="1099"/>
      <c r="S42" s="1099"/>
      <c r="T42" s="1099"/>
      <c r="U42" s="1099"/>
      <c r="V42" s="1099"/>
      <c r="W42" s="1099"/>
      <c r="X42" s="1099"/>
      <c r="Y42" s="1099"/>
      <c r="Z42" s="1099"/>
      <c r="AA42" s="1099"/>
      <c r="AB42" s="1099"/>
      <c r="AC42" s="1099"/>
      <c r="AD42" s="1099"/>
      <c r="AE42" s="1099"/>
      <c r="AF42" s="1099"/>
      <c r="AG42" s="1099"/>
      <c r="AH42" s="1099"/>
      <c r="AI42" s="1099"/>
    </row>
    <row r="43" spans="1:37">
      <c r="B43" s="1103"/>
      <c r="C43" s="1103"/>
      <c r="D43" s="1103"/>
      <c r="E43" s="1103"/>
      <c r="F43" s="1103"/>
      <c r="G43" s="1103"/>
      <c r="H43" s="1103"/>
      <c r="I43" s="1103"/>
      <c r="J43" s="1103"/>
      <c r="K43" s="1103"/>
      <c r="L43" s="1103"/>
      <c r="M43" s="1103"/>
      <c r="N43" s="1103"/>
      <c r="O43" s="1103"/>
      <c r="P43" s="1103"/>
      <c r="Q43" s="1103"/>
      <c r="R43" s="1103"/>
      <c r="S43" s="1103"/>
      <c r="T43" s="1103"/>
      <c r="U43" s="1103"/>
      <c r="V43" s="1103"/>
      <c r="W43" s="1103"/>
      <c r="X43" s="1103"/>
      <c r="Y43" s="1103"/>
      <c r="Z43" s="1103"/>
      <c r="AA43" s="1103"/>
      <c r="AB43" s="1103"/>
      <c r="AC43" s="1103"/>
      <c r="AD43" s="1103"/>
      <c r="AE43" s="1103"/>
      <c r="AF43" s="1103"/>
      <c r="AG43" s="1103"/>
      <c r="AH43" s="1103"/>
      <c r="AI43" s="1103"/>
    </row>
    <row r="44" spans="1:37" ht="13.5">
      <c r="A44" s="1089"/>
      <c r="B44" s="1089" t="s">
        <v>837</v>
      </c>
      <c r="C44" s="1089"/>
      <c r="D44" s="1089"/>
      <c r="E44" s="1089"/>
      <c r="F44" s="1089"/>
      <c r="G44" s="1089"/>
      <c r="H44" s="1089"/>
      <c r="I44" s="1089"/>
      <c r="J44" s="1089"/>
      <c r="K44" s="1089"/>
      <c r="L44" s="1089"/>
      <c r="M44" s="1089"/>
      <c r="N44" s="1089"/>
      <c r="O44" s="1089"/>
      <c r="P44" s="1089"/>
      <c r="Q44" s="1089"/>
      <c r="R44" s="1089"/>
      <c r="S44" s="1089"/>
      <c r="T44" s="1089"/>
      <c r="U44" s="1089"/>
      <c r="V44" s="1089"/>
      <c r="W44" s="1089"/>
      <c r="X44" s="1089"/>
      <c r="Y44" s="1089"/>
      <c r="Z44" s="1089"/>
      <c r="AA44" s="1089"/>
      <c r="AB44" s="1089"/>
      <c r="AC44" s="1089"/>
      <c r="AD44" s="1089"/>
      <c r="AE44" s="1089"/>
      <c r="AF44" s="1089"/>
      <c r="AG44" s="1089"/>
      <c r="AH44" s="1089"/>
      <c r="AI44" s="1089"/>
      <c r="AJ44" s="1089"/>
      <c r="AK44" s="1089"/>
    </row>
    <row r="45" spans="1:37" ht="17.25" customHeight="1">
      <c r="B45" s="1098" t="s">
        <v>663</v>
      </c>
      <c r="C45" s="1105"/>
      <c r="D45" s="1105"/>
      <c r="E45" s="1105"/>
      <c r="F45" s="1105"/>
      <c r="G45" s="1105"/>
      <c r="H45" s="1105"/>
      <c r="I45" s="1105"/>
      <c r="J45" s="1105"/>
      <c r="K45" s="1115" t="s">
        <v>742</v>
      </c>
      <c r="L45" s="1115"/>
      <c r="M45" s="1115"/>
      <c r="N45" s="1115"/>
      <c r="O45" s="1115"/>
      <c r="P45" s="1115"/>
      <c r="Q45" s="1115"/>
      <c r="R45" s="1115"/>
      <c r="S45" s="1115"/>
      <c r="T45" s="1115"/>
      <c r="U45" s="1115"/>
      <c r="V45" s="1115"/>
      <c r="W45" s="1115" t="s">
        <v>604</v>
      </c>
      <c r="X45" s="1115"/>
      <c r="Y45" s="1115"/>
      <c r="Z45" s="1115"/>
      <c r="AA45" s="1115"/>
      <c r="AB45" s="1115"/>
      <c r="AC45" s="1115"/>
      <c r="AD45" s="1115"/>
      <c r="AE45" s="1115"/>
      <c r="AF45" s="1115"/>
      <c r="AG45" s="1115"/>
      <c r="AH45" s="1115"/>
      <c r="AI45" s="1115"/>
    </row>
    <row r="46" spans="1:37" s="1084" customFormat="1" ht="80.099999999999994" customHeight="1">
      <c r="A46" s="1084"/>
      <c r="B46" s="1104" t="s">
        <v>751</v>
      </c>
      <c r="C46" s="1104"/>
      <c r="D46" s="1104"/>
      <c r="E46" s="1104"/>
      <c r="F46" s="1104"/>
      <c r="G46" s="1104"/>
      <c r="H46" s="1104"/>
      <c r="I46" s="1104"/>
      <c r="J46" s="1104"/>
      <c r="K46" s="1104" t="s">
        <v>128</v>
      </c>
      <c r="L46" s="1104"/>
      <c r="M46" s="1104"/>
      <c r="N46" s="1104"/>
      <c r="O46" s="1104"/>
      <c r="P46" s="1104"/>
      <c r="Q46" s="1104"/>
      <c r="R46" s="1104"/>
      <c r="S46" s="1104"/>
      <c r="T46" s="1104"/>
      <c r="U46" s="1104"/>
      <c r="V46" s="1104"/>
      <c r="W46" s="1137" t="s">
        <v>233</v>
      </c>
      <c r="X46" s="1104"/>
      <c r="Y46" s="1104"/>
      <c r="Z46" s="1104"/>
      <c r="AA46" s="1104"/>
      <c r="AB46" s="1104"/>
      <c r="AC46" s="1104"/>
      <c r="AD46" s="1104"/>
      <c r="AE46" s="1104"/>
      <c r="AF46" s="1104"/>
      <c r="AG46" s="1104"/>
      <c r="AH46" s="1104"/>
      <c r="AI46" s="1104"/>
      <c r="AJ46" s="1084"/>
      <c r="AK46" s="1084"/>
    </row>
    <row r="47" spans="1:37" ht="13.5" customHeight="1">
      <c r="B47" s="1099" t="s">
        <v>734</v>
      </c>
      <c r="C47" s="1099"/>
      <c r="D47" s="1099"/>
      <c r="E47" s="1099"/>
      <c r="F47" s="1099"/>
      <c r="G47" s="1099"/>
      <c r="H47" s="1099"/>
      <c r="I47" s="1099"/>
      <c r="J47" s="1099"/>
      <c r="K47" s="1099"/>
      <c r="L47" s="1099"/>
      <c r="M47" s="1099"/>
      <c r="N47" s="1099"/>
      <c r="O47" s="1099"/>
      <c r="P47" s="1099"/>
      <c r="Q47" s="1099"/>
      <c r="R47" s="1099"/>
      <c r="S47" s="1099"/>
      <c r="T47" s="1099"/>
      <c r="U47" s="1099"/>
      <c r="V47" s="1099"/>
      <c r="W47" s="1099"/>
      <c r="X47" s="1099"/>
      <c r="Y47" s="1099"/>
      <c r="Z47" s="1099"/>
      <c r="AA47" s="1099"/>
      <c r="AB47" s="1099"/>
      <c r="AC47" s="1099"/>
      <c r="AD47" s="1099"/>
      <c r="AE47" s="1099"/>
      <c r="AF47" s="1099"/>
      <c r="AG47" s="1099"/>
      <c r="AH47" s="1099"/>
      <c r="AI47" s="1099"/>
    </row>
  </sheetData>
  <mergeCells count="86">
    <mergeCell ref="A1:AK1"/>
    <mergeCell ref="A2:AK2"/>
    <mergeCell ref="Y4:AA4"/>
    <mergeCell ref="AB4:AJ4"/>
    <mergeCell ref="A5:AK5"/>
    <mergeCell ref="A6:AK6"/>
    <mergeCell ref="B7:D7"/>
    <mergeCell ref="E7:AA7"/>
    <mergeCell ref="AB7:AJ7"/>
    <mergeCell ref="B8:D8"/>
    <mergeCell ref="E8:AA8"/>
    <mergeCell ref="AB8:AJ8"/>
    <mergeCell ref="B9:D9"/>
    <mergeCell ref="E9:AA9"/>
    <mergeCell ref="AB9:AJ9"/>
    <mergeCell ref="B10:D10"/>
    <mergeCell ref="E10:AA10"/>
    <mergeCell ref="AB10:AJ10"/>
    <mergeCell ref="B11:D11"/>
    <mergeCell ref="E11:AA11"/>
    <mergeCell ref="AB11:AJ11"/>
    <mergeCell ref="B12:E12"/>
    <mergeCell ref="F12:AJ12"/>
    <mergeCell ref="B13:E13"/>
    <mergeCell ref="F13:AJ13"/>
    <mergeCell ref="B14:E14"/>
    <mergeCell ref="F14:AJ14"/>
    <mergeCell ref="B15:E15"/>
    <mergeCell ref="F15:AJ15"/>
    <mergeCell ref="B16:AJ16"/>
    <mergeCell ref="A18:AK18"/>
    <mergeCell ref="B19:J19"/>
    <mergeCell ref="K19:R19"/>
    <mergeCell ref="S19:AI19"/>
    <mergeCell ref="B20:J20"/>
    <mergeCell ref="K20:R20"/>
    <mergeCell ref="S20:AI20"/>
    <mergeCell ref="B21:J21"/>
    <mergeCell ref="K21:R21"/>
    <mergeCell ref="S21:AI21"/>
    <mergeCell ref="B22:J22"/>
    <mergeCell ref="K22:R22"/>
    <mergeCell ref="S22:AI22"/>
    <mergeCell ref="B23:AI23"/>
    <mergeCell ref="A25:AK25"/>
    <mergeCell ref="B26:AK26"/>
    <mergeCell ref="B27:J27"/>
    <mergeCell ref="K27:V27"/>
    <mergeCell ref="W27:AI27"/>
    <mergeCell ref="B28:J28"/>
    <mergeCell ref="K28:V28"/>
    <mergeCell ref="W28:AI28"/>
    <mergeCell ref="B29:J29"/>
    <mergeCell ref="K29:V29"/>
    <mergeCell ref="W29:AI29"/>
    <mergeCell ref="B30:AI30"/>
    <mergeCell ref="B32:AK32"/>
    <mergeCell ref="B33:J33"/>
    <mergeCell ref="K33:V33"/>
    <mergeCell ref="W33:AI33"/>
    <mergeCell ref="B34:J34"/>
    <mergeCell ref="K34:V34"/>
    <mergeCell ref="W34:AI34"/>
    <mergeCell ref="B35:J35"/>
    <mergeCell ref="K35:V35"/>
    <mergeCell ref="W35:AI35"/>
    <mergeCell ref="B36:AI36"/>
    <mergeCell ref="B38:AK38"/>
    <mergeCell ref="B39:J39"/>
    <mergeCell ref="K39:V39"/>
    <mergeCell ref="W39:AI39"/>
    <mergeCell ref="B40:J40"/>
    <mergeCell ref="K40:V40"/>
    <mergeCell ref="W40:AI40"/>
    <mergeCell ref="B41:J41"/>
    <mergeCell ref="K41:V41"/>
    <mergeCell ref="W41:AI41"/>
    <mergeCell ref="B42:AI42"/>
    <mergeCell ref="B44:AK44"/>
    <mergeCell ref="B45:J45"/>
    <mergeCell ref="K45:V45"/>
    <mergeCell ref="W45:AI45"/>
    <mergeCell ref="B46:J46"/>
    <mergeCell ref="K46:V46"/>
    <mergeCell ref="W46:AI46"/>
    <mergeCell ref="B47:AI47"/>
  </mergeCells>
  <phoneticPr fontId="5"/>
  <dataValidations count="1">
    <dataValidation type="list" allowBlank="1" showDropDown="0" showInputMessage="1" showErrorMessage="1" sqref="B8:D11 IX8:IZ11 ST8:SV11 ACP8:ACR11 AML8:AMN11 AWH8:AWJ11 BGD8:BGF11 BPZ8:BQB11 BZV8:BZX11 CJR8:CJT11 CTN8:CTP11 DDJ8:DDL11 DNF8:DNH11 DXB8:DXD11 EGX8:EGZ11 EQT8:EQV11 FAP8:FAR11 FKL8:FKN11 FUH8:FUJ11 GED8:GEF11 GNZ8:GOB11 GXV8:GXX11 HHR8:HHT11 HRN8:HRP11 IBJ8:IBL11 ILF8:ILH11 IVB8:IVD11 JEX8:JEZ11 JOT8:JOV11 JYP8:JYR11 KIL8:KIN11 KSH8:KSJ11 LCD8:LCF11 LLZ8:LMB11 LVV8:LVX11 MFR8:MFT11 MPN8:MPP11 MZJ8:MZL11 NJF8:NJH11 NTB8:NTD11 OCX8:OCZ11 OMT8:OMV11 OWP8:OWR11 PGL8:PGN11 PQH8:PQJ11 QAD8:QAF11 QJZ8:QKB11 QTV8:QTX11 RDR8:RDT11 RNN8:RNP11 RXJ8:RXL11 SHF8:SHH11 SRB8:SRD11 TAX8:TAZ11 TKT8:TKV11 TUP8:TUR11 UEL8:UEN11 UOH8:UOJ11 UYD8:UYF11 VHZ8:VIB11 VRV8:VRX11 WBR8:WBT11 WLN8:WLP11 WVJ8:WVL11 B65544:D65547 IX65544:IZ65547 ST65544:SV65547 ACP65544:ACR65547 AML65544:AMN65547 AWH65544:AWJ65547 BGD65544:BGF65547 BPZ65544:BQB65547 BZV65544:BZX65547 CJR65544:CJT65547 CTN65544:CTP65547 DDJ65544:DDL65547 DNF65544:DNH65547 DXB65544:DXD65547 EGX65544:EGZ65547 EQT65544:EQV65547 FAP65544:FAR65547 FKL65544:FKN65547 FUH65544:FUJ65547 GED65544:GEF65547 GNZ65544:GOB65547 GXV65544:GXX65547 HHR65544:HHT65547 HRN65544:HRP65547 IBJ65544:IBL65547 ILF65544:ILH65547 IVB65544:IVD65547 JEX65544:JEZ65547 JOT65544:JOV65547 JYP65544:JYR65547 KIL65544:KIN65547 KSH65544:KSJ65547 LCD65544:LCF65547 LLZ65544:LMB65547 LVV65544:LVX65547 MFR65544:MFT65547 MPN65544:MPP65547 MZJ65544:MZL65547 NJF65544:NJH65547 NTB65544:NTD65547 OCX65544:OCZ65547 OMT65544:OMV65547 OWP65544:OWR65547 PGL65544:PGN65547 PQH65544:PQJ65547 QAD65544:QAF65547 QJZ65544:QKB65547 QTV65544:QTX65547 RDR65544:RDT65547 RNN65544:RNP65547 RXJ65544:RXL65547 SHF65544:SHH65547 SRB65544:SRD65547 TAX65544:TAZ65547 TKT65544:TKV65547 TUP65544:TUR65547 UEL65544:UEN65547 UOH65544:UOJ65547 UYD65544:UYF65547 VHZ65544:VIB65547 VRV65544:VRX65547 WBR65544:WBT65547 WLN65544:WLP65547 WVJ65544:WVL65547 B131080:D131083 IX131080:IZ131083 ST131080:SV131083 ACP131080:ACR131083 AML131080:AMN131083 AWH131080:AWJ131083 BGD131080:BGF131083 BPZ131080:BQB131083 BZV131080:BZX131083 CJR131080:CJT131083 CTN131080:CTP131083 DDJ131080:DDL131083 DNF131080:DNH131083 DXB131080:DXD131083 EGX131080:EGZ131083 EQT131080:EQV131083 FAP131080:FAR131083 FKL131080:FKN131083 FUH131080:FUJ131083 GED131080:GEF131083 GNZ131080:GOB131083 GXV131080:GXX131083 HHR131080:HHT131083 HRN131080:HRP131083 IBJ131080:IBL131083 ILF131080:ILH131083 IVB131080:IVD131083 JEX131080:JEZ131083 JOT131080:JOV131083 JYP131080:JYR131083 KIL131080:KIN131083 KSH131080:KSJ131083 LCD131080:LCF131083 LLZ131080:LMB131083 LVV131080:LVX131083 MFR131080:MFT131083 MPN131080:MPP131083 MZJ131080:MZL131083 NJF131080:NJH131083 NTB131080:NTD131083 OCX131080:OCZ131083 OMT131080:OMV131083 OWP131080:OWR131083 PGL131080:PGN131083 PQH131080:PQJ131083 QAD131080:QAF131083 QJZ131080:QKB131083 QTV131080:QTX131083 RDR131080:RDT131083 RNN131080:RNP131083 RXJ131080:RXL131083 SHF131080:SHH131083 SRB131080:SRD131083 TAX131080:TAZ131083 TKT131080:TKV131083 TUP131080:TUR131083 UEL131080:UEN131083 UOH131080:UOJ131083 UYD131080:UYF131083 VHZ131080:VIB131083 VRV131080:VRX131083 WBR131080:WBT131083 WLN131080:WLP131083 WVJ131080:WVL131083 B196616:D196619 IX196616:IZ196619 ST196616:SV196619 ACP196616:ACR196619 AML196616:AMN196619 AWH196616:AWJ196619 BGD196616:BGF196619 BPZ196616:BQB196619 BZV196616:BZX196619 CJR196616:CJT196619 CTN196616:CTP196619 DDJ196616:DDL196619 DNF196616:DNH196619 DXB196616:DXD196619 EGX196616:EGZ196619 EQT196616:EQV196619 FAP196616:FAR196619 FKL196616:FKN196619 FUH196616:FUJ196619 GED196616:GEF196619 GNZ196616:GOB196619 GXV196616:GXX196619 HHR196616:HHT196619 HRN196616:HRP196619 IBJ196616:IBL196619 ILF196616:ILH196619 IVB196616:IVD196619 JEX196616:JEZ196619 JOT196616:JOV196619 JYP196616:JYR196619 KIL196616:KIN196619 KSH196616:KSJ196619 LCD196616:LCF196619 LLZ196616:LMB196619 LVV196616:LVX196619 MFR196616:MFT196619 MPN196616:MPP196619 MZJ196616:MZL196619 NJF196616:NJH196619 NTB196616:NTD196619 OCX196616:OCZ196619 OMT196616:OMV196619 OWP196616:OWR196619 PGL196616:PGN196619 PQH196616:PQJ196619 QAD196616:QAF196619 QJZ196616:QKB196619 QTV196616:QTX196619 RDR196616:RDT196619 RNN196616:RNP196619 RXJ196616:RXL196619 SHF196616:SHH196619 SRB196616:SRD196619 TAX196616:TAZ196619 TKT196616:TKV196619 TUP196616:TUR196619 UEL196616:UEN196619 UOH196616:UOJ196619 UYD196616:UYF196619 VHZ196616:VIB196619 VRV196616:VRX196619 WBR196616:WBT196619 WLN196616:WLP196619 WVJ196616:WVL196619 B262152:D262155 IX262152:IZ262155 ST262152:SV262155 ACP262152:ACR262155 AML262152:AMN262155 AWH262152:AWJ262155 BGD262152:BGF262155 BPZ262152:BQB262155 BZV262152:BZX262155 CJR262152:CJT262155 CTN262152:CTP262155 DDJ262152:DDL262155 DNF262152:DNH262155 DXB262152:DXD262155 EGX262152:EGZ262155 EQT262152:EQV262155 FAP262152:FAR262155 FKL262152:FKN262155 FUH262152:FUJ262155 GED262152:GEF262155 GNZ262152:GOB262155 GXV262152:GXX262155 HHR262152:HHT262155 HRN262152:HRP262155 IBJ262152:IBL262155 ILF262152:ILH262155 IVB262152:IVD262155 JEX262152:JEZ262155 JOT262152:JOV262155 JYP262152:JYR262155 KIL262152:KIN262155 KSH262152:KSJ262155 LCD262152:LCF262155 LLZ262152:LMB262155 LVV262152:LVX262155 MFR262152:MFT262155 MPN262152:MPP262155 MZJ262152:MZL262155 NJF262152:NJH262155 NTB262152:NTD262155 OCX262152:OCZ262155 OMT262152:OMV262155 OWP262152:OWR262155 PGL262152:PGN262155 PQH262152:PQJ262155 QAD262152:QAF262155 QJZ262152:QKB262155 QTV262152:QTX262155 RDR262152:RDT262155 RNN262152:RNP262155 RXJ262152:RXL262155 SHF262152:SHH262155 SRB262152:SRD262155 TAX262152:TAZ262155 TKT262152:TKV262155 TUP262152:TUR262155 UEL262152:UEN262155 UOH262152:UOJ262155 UYD262152:UYF262155 VHZ262152:VIB262155 VRV262152:VRX262155 WBR262152:WBT262155 WLN262152:WLP262155 WVJ262152:WVL262155 B327688:D327691 IX327688:IZ327691 ST327688:SV327691 ACP327688:ACR327691 AML327688:AMN327691 AWH327688:AWJ327691 BGD327688:BGF327691 BPZ327688:BQB327691 BZV327688:BZX327691 CJR327688:CJT327691 CTN327688:CTP327691 DDJ327688:DDL327691 DNF327688:DNH327691 DXB327688:DXD327691 EGX327688:EGZ327691 EQT327688:EQV327691 FAP327688:FAR327691 FKL327688:FKN327691 FUH327688:FUJ327691 GED327688:GEF327691 GNZ327688:GOB327691 GXV327688:GXX327691 HHR327688:HHT327691 HRN327688:HRP327691 IBJ327688:IBL327691 ILF327688:ILH327691 IVB327688:IVD327691 JEX327688:JEZ327691 JOT327688:JOV327691 JYP327688:JYR327691 KIL327688:KIN327691 KSH327688:KSJ327691 LCD327688:LCF327691 LLZ327688:LMB327691 LVV327688:LVX327691 MFR327688:MFT327691 MPN327688:MPP327691 MZJ327688:MZL327691 NJF327688:NJH327691 NTB327688:NTD327691 OCX327688:OCZ327691 OMT327688:OMV327691 OWP327688:OWR327691 PGL327688:PGN327691 PQH327688:PQJ327691 QAD327688:QAF327691 QJZ327688:QKB327691 QTV327688:QTX327691 RDR327688:RDT327691 RNN327688:RNP327691 RXJ327688:RXL327691 SHF327688:SHH327691 SRB327688:SRD327691 TAX327688:TAZ327691 TKT327688:TKV327691 TUP327688:TUR327691 UEL327688:UEN327691 UOH327688:UOJ327691 UYD327688:UYF327691 VHZ327688:VIB327691 VRV327688:VRX327691 WBR327688:WBT327691 WLN327688:WLP327691 WVJ327688:WVL327691 B393224:D393227 IX393224:IZ393227 ST393224:SV393227 ACP393224:ACR393227 AML393224:AMN393227 AWH393224:AWJ393227 BGD393224:BGF393227 BPZ393224:BQB393227 BZV393224:BZX393227 CJR393224:CJT393227 CTN393224:CTP393227 DDJ393224:DDL393227 DNF393224:DNH393227 DXB393224:DXD393227 EGX393224:EGZ393227 EQT393224:EQV393227 FAP393224:FAR393227 FKL393224:FKN393227 FUH393224:FUJ393227 GED393224:GEF393227 GNZ393224:GOB393227 GXV393224:GXX393227 HHR393224:HHT393227 HRN393224:HRP393227 IBJ393224:IBL393227 ILF393224:ILH393227 IVB393224:IVD393227 JEX393224:JEZ393227 JOT393224:JOV393227 JYP393224:JYR393227 KIL393224:KIN393227 KSH393224:KSJ393227 LCD393224:LCF393227 LLZ393224:LMB393227 LVV393224:LVX393227 MFR393224:MFT393227 MPN393224:MPP393227 MZJ393224:MZL393227 NJF393224:NJH393227 NTB393224:NTD393227 OCX393224:OCZ393227 OMT393224:OMV393227 OWP393224:OWR393227 PGL393224:PGN393227 PQH393224:PQJ393227 QAD393224:QAF393227 QJZ393224:QKB393227 QTV393224:QTX393227 RDR393224:RDT393227 RNN393224:RNP393227 RXJ393224:RXL393227 SHF393224:SHH393227 SRB393224:SRD393227 TAX393224:TAZ393227 TKT393224:TKV393227 TUP393224:TUR393227 UEL393224:UEN393227 UOH393224:UOJ393227 UYD393224:UYF393227 VHZ393224:VIB393227 VRV393224:VRX393227 WBR393224:WBT393227 WLN393224:WLP393227 WVJ393224:WVL393227 B458760:D458763 IX458760:IZ458763 ST458760:SV458763 ACP458760:ACR458763 AML458760:AMN458763 AWH458760:AWJ458763 BGD458760:BGF458763 BPZ458760:BQB458763 BZV458760:BZX458763 CJR458760:CJT458763 CTN458760:CTP458763 DDJ458760:DDL458763 DNF458760:DNH458763 DXB458760:DXD458763 EGX458760:EGZ458763 EQT458760:EQV458763 FAP458760:FAR458763 FKL458760:FKN458763 FUH458760:FUJ458763 GED458760:GEF458763 GNZ458760:GOB458763 GXV458760:GXX458763 HHR458760:HHT458763 HRN458760:HRP458763 IBJ458760:IBL458763 ILF458760:ILH458763 IVB458760:IVD458763 JEX458760:JEZ458763 JOT458760:JOV458763 JYP458760:JYR458763 KIL458760:KIN458763 KSH458760:KSJ458763 LCD458760:LCF458763 LLZ458760:LMB458763 LVV458760:LVX458763 MFR458760:MFT458763 MPN458760:MPP458763 MZJ458760:MZL458763 NJF458760:NJH458763 NTB458760:NTD458763 OCX458760:OCZ458763 OMT458760:OMV458763 OWP458760:OWR458763 PGL458760:PGN458763 PQH458760:PQJ458763 QAD458760:QAF458763 QJZ458760:QKB458763 QTV458760:QTX458763 RDR458760:RDT458763 RNN458760:RNP458763 RXJ458760:RXL458763 SHF458760:SHH458763 SRB458760:SRD458763 TAX458760:TAZ458763 TKT458760:TKV458763 TUP458760:TUR458763 UEL458760:UEN458763 UOH458760:UOJ458763 UYD458760:UYF458763 VHZ458760:VIB458763 VRV458760:VRX458763 WBR458760:WBT458763 WLN458760:WLP458763 WVJ458760:WVL458763 B524296:D524299 IX524296:IZ524299 ST524296:SV524299 ACP524296:ACR524299 AML524296:AMN524299 AWH524296:AWJ524299 BGD524296:BGF524299 BPZ524296:BQB524299 BZV524296:BZX524299 CJR524296:CJT524299 CTN524296:CTP524299 DDJ524296:DDL524299 DNF524296:DNH524299 DXB524296:DXD524299 EGX524296:EGZ524299 EQT524296:EQV524299 FAP524296:FAR524299 FKL524296:FKN524299 FUH524296:FUJ524299 GED524296:GEF524299 GNZ524296:GOB524299 GXV524296:GXX524299 HHR524296:HHT524299 HRN524296:HRP524299 IBJ524296:IBL524299 ILF524296:ILH524299 IVB524296:IVD524299 JEX524296:JEZ524299 JOT524296:JOV524299 JYP524296:JYR524299 KIL524296:KIN524299 KSH524296:KSJ524299 LCD524296:LCF524299 LLZ524296:LMB524299 LVV524296:LVX524299 MFR524296:MFT524299 MPN524296:MPP524299 MZJ524296:MZL524299 NJF524296:NJH524299 NTB524296:NTD524299 OCX524296:OCZ524299 OMT524296:OMV524299 OWP524296:OWR524299 PGL524296:PGN524299 PQH524296:PQJ524299 QAD524296:QAF524299 QJZ524296:QKB524299 QTV524296:QTX524299 RDR524296:RDT524299 RNN524296:RNP524299 RXJ524296:RXL524299 SHF524296:SHH524299 SRB524296:SRD524299 TAX524296:TAZ524299 TKT524296:TKV524299 TUP524296:TUR524299 UEL524296:UEN524299 UOH524296:UOJ524299 UYD524296:UYF524299 VHZ524296:VIB524299 VRV524296:VRX524299 WBR524296:WBT524299 WLN524296:WLP524299 WVJ524296:WVL524299 B589832:D589835 IX589832:IZ589835 ST589832:SV589835 ACP589832:ACR589835 AML589832:AMN589835 AWH589832:AWJ589835 BGD589832:BGF589835 BPZ589832:BQB589835 BZV589832:BZX589835 CJR589832:CJT589835 CTN589832:CTP589835 DDJ589832:DDL589835 DNF589832:DNH589835 DXB589832:DXD589835 EGX589832:EGZ589835 EQT589832:EQV589835 FAP589832:FAR589835 FKL589832:FKN589835 FUH589832:FUJ589835 GED589832:GEF589835 GNZ589832:GOB589835 GXV589832:GXX589835 HHR589832:HHT589835 HRN589832:HRP589835 IBJ589832:IBL589835 ILF589832:ILH589835 IVB589832:IVD589835 JEX589832:JEZ589835 JOT589832:JOV589835 JYP589832:JYR589835 KIL589832:KIN589835 KSH589832:KSJ589835 LCD589832:LCF589835 LLZ589832:LMB589835 LVV589832:LVX589835 MFR589832:MFT589835 MPN589832:MPP589835 MZJ589832:MZL589835 NJF589832:NJH589835 NTB589832:NTD589835 OCX589832:OCZ589835 OMT589832:OMV589835 OWP589832:OWR589835 PGL589832:PGN589835 PQH589832:PQJ589835 QAD589832:QAF589835 QJZ589832:QKB589835 QTV589832:QTX589835 RDR589832:RDT589835 RNN589832:RNP589835 RXJ589832:RXL589835 SHF589832:SHH589835 SRB589832:SRD589835 TAX589832:TAZ589835 TKT589832:TKV589835 TUP589832:TUR589835 UEL589832:UEN589835 UOH589832:UOJ589835 UYD589832:UYF589835 VHZ589832:VIB589835 VRV589832:VRX589835 WBR589832:WBT589835 WLN589832:WLP589835 WVJ589832:WVL589835 B655368:D655371 IX655368:IZ655371 ST655368:SV655371 ACP655368:ACR655371 AML655368:AMN655371 AWH655368:AWJ655371 BGD655368:BGF655371 BPZ655368:BQB655371 BZV655368:BZX655371 CJR655368:CJT655371 CTN655368:CTP655371 DDJ655368:DDL655371 DNF655368:DNH655371 DXB655368:DXD655371 EGX655368:EGZ655371 EQT655368:EQV655371 FAP655368:FAR655371 FKL655368:FKN655371 FUH655368:FUJ655371 GED655368:GEF655371 GNZ655368:GOB655371 GXV655368:GXX655371 HHR655368:HHT655371 HRN655368:HRP655371 IBJ655368:IBL655371 ILF655368:ILH655371 IVB655368:IVD655371 JEX655368:JEZ655371 JOT655368:JOV655371 JYP655368:JYR655371 KIL655368:KIN655371 KSH655368:KSJ655371 LCD655368:LCF655371 LLZ655368:LMB655371 LVV655368:LVX655371 MFR655368:MFT655371 MPN655368:MPP655371 MZJ655368:MZL655371 NJF655368:NJH655371 NTB655368:NTD655371 OCX655368:OCZ655371 OMT655368:OMV655371 OWP655368:OWR655371 PGL655368:PGN655371 PQH655368:PQJ655371 QAD655368:QAF655371 QJZ655368:QKB655371 QTV655368:QTX655371 RDR655368:RDT655371 RNN655368:RNP655371 RXJ655368:RXL655371 SHF655368:SHH655371 SRB655368:SRD655371 TAX655368:TAZ655371 TKT655368:TKV655371 TUP655368:TUR655371 UEL655368:UEN655371 UOH655368:UOJ655371 UYD655368:UYF655371 VHZ655368:VIB655371 VRV655368:VRX655371 WBR655368:WBT655371 WLN655368:WLP655371 WVJ655368:WVL655371 B720904:D720907 IX720904:IZ720907 ST720904:SV720907 ACP720904:ACR720907 AML720904:AMN720907 AWH720904:AWJ720907 BGD720904:BGF720907 BPZ720904:BQB720907 BZV720904:BZX720907 CJR720904:CJT720907 CTN720904:CTP720907 DDJ720904:DDL720907 DNF720904:DNH720907 DXB720904:DXD720907 EGX720904:EGZ720907 EQT720904:EQV720907 FAP720904:FAR720907 FKL720904:FKN720907 FUH720904:FUJ720907 GED720904:GEF720907 GNZ720904:GOB720907 GXV720904:GXX720907 HHR720904:HHT720907 HRN720904:HRP720907 IBJ720904:IBL720907 ILF720904:ILH720907 IVB720904:IVD720907 JEX720904:JEZ720907 JOT720904:JOV720907 JYP720904:JYR720907 KIL720904:KIN720907 KSH720904:KSJ720907 LCD720904:LCF720907 LLZ720904:LMB720907 LVV720904:LVX720907 MFR720904:MFT720907 MPN720904:MPP720907 MZJ720904:MZL720907 NJF720904:NJH720907 NTB720904:NTD720907 OCX720904:OCZ720907 OMT720904:OMV720907 OWP720904:OWR720907 PGL720904:PGN720907 PQH720904:PQJ720907 QAD720904:QAF720907 QJZ720904:QKB720907 QTV720904:QTX720907 RDR720904:RDT720907 RNN720904:RNP720907 RXJ720904:RXL720907 SHF720904:SHH720907 SRB720904:SRD720907 TAX720904:TAZ720907 TKT720904:TKV720907 TUP720904:TUR720907 UEL720904:UEN720907 UOH720904:UOJ720907 UYD720904:UYF720907 VHZ720904:VIB720907 VRV720904:VRX720907 WBR720904:WBT720907 WLN720904:WLP720907 WVJ720904:WVL720907 B786440:D786443 IX786440:IZ786443 ST786440:SV786443 ACP786440:ACR786443 AML786440:AMN786443 AWH786440:AWJ786443 BGD786440:BGF786443 BPZ786440:BQB786443 BZV786440:BZX786443 CJR786440:CJT786443 CTN786440:CTP786443 DDJ786440:DDL786443 DNF786440:DNH786443 DXB786440:DXD786443 EGX786440:EGZ786443 EQT786440:EQV786443 FAP786440:FAR786443 FKL786440:FKN786443 FUH786440:FUJ786443 GED786440:GEF786443 GNZ786440:GOB786443 GXV786440:GXX786443 HHR786440:HHT786443 HRN786440:HRP786443 IBJ786440:IBL786443 ILF786440:ILH786443 IVB786440:IVD786443 JEX786440:JEZ786443 JOT786440:JOV786443 JYP786440:JYR786443 KIL786440:KIN786443 KSH786440:KSJ786443 LCD786440:LCF786443 LLZ786440:LMB786443 LVV786440:LVX786443 MFR786440:MFT786443 MPN786440:MPP786443 MZJ786440:MZL786443 NJF786440:NJH786443 NTB786440:NTD786443 OCX786440:OCZ786443 OMT786440:OMV786443 OWP786440:OWR786443 PGL786440:PGN786443 PQH786440:PQJ786443 QAD786440:QAF786443 QJZ786440:QKB786443 QTV786440:QTX786443 RDR786440:RDT786443 RNN786440:RNP786443 RXJ786440:RXL786443 SHF786440:SHH786443 SRB786440:SRD786443 TAX786440:TAZ786443 TKT786440:TKV786443 TUP786440:TUR786443 UEL786440:UEN786443 UOH786440:UOJ786443 UYD786440:UYF786443 VHZ786440:VIB786443 VRV786440:VRX786443 WBR786440:WBT786443 WLN786440:WLP786443 WVJ786440:WVL786443 B851976:D851979 IX851976:IZ851979 ST851976:SV851979 ACP851976:ACR851979 AML851976:AMN851979 AWH851976:AWJ851979 BGD851976:BGF851979 BPZ851976:BQB851979 BZV851976:BZX851979 CJR851976:CJT851979 CTN851976:CTP851979 DDJ851976:DDL851979 DNF851976:DNH851979 DXB851976:DXD851979 EGX851976:EGZ851979 EQT851976:EQV851979 FAP851976:FAR851979 FKL851976:FKN851979 FUH851976:FUJ851979 GED851976:GEF851979 GNZ851976:GOB851979 GXV851976:GXX851979 HHR851976:HHT851979 HRN851976:HRP851979 IBJ851976:IBL851979 ILF851976:ILH851979 IVB851976:IVD851979 JEX851976:JEZ851979 JOT851976:JOV851979 JYP851976:JYR851979 KIL851976:KIN851979 KSH851976:KSJ851979 LCD851976:LCF851979 LLZ851976:LMB851979 LVV851976:LVX851979 MFR851976:MFT851979 MPN851976:MPP851979 MZJ851976:MZL851979 NJF851976:NJH851979 NTB851976:NTD851979 OCX851976:OCZ851979 OMT851976:OMV851979 OWP851976:OWR851979 PGL851976:PGN851979 PQH851976:PQJ851979 QAD851976:QAF851979 QJZ851976:QKB851979 QTV851976:QTX851979 RDR851976:RDT851979 RNN851976:RNP851979 RXJ851976:RXL851979 SHF851976:SHH851979 SRB851976:SRD851979 TAX851976:TAZ851979 TKT851976:TKV851979 TUP851976:TUR851979 UEL851976:UEN851979 UOH851976:UOJ851979 UYD851976:UYF851979 VHZ851976:VIB851979 VRV851976:VRX851979 WBR851976:WBT851979 WLN851976:WLP851979 WVJ851976:WVL851979 B917512:D917515 IX917512:IZ917515 ST917512:SV917515 ACP917512:ACR917515 AML917512:AMN917515 AWH917512:AWJ917515 BGD917512:BGF917515 BPZ917512:BQB917515 BZV917512:BZX917515 CJR917512:CJT917515 CTN917512:CTP917515 DDJ917512:DDL917515 DNF917512:DNH917515 DXB917512:DXD917515 EGX917512:EGZ917515 EQT917512:EQV917515 FAP917512:FAR917515 FKL917512:FKN917515 FUH917512:FUJ917515 GED917512:GEF917515 GNZ917512:GOB917515 GXV917512:GXX917515 HHR917512:HHT917515 HRN917512:HRP917515 IBJ917512:IBL917515 ILF917512:ILH917515 IVB917512:IVD917515 JEX917512:JEZ917515 JOT917512:JOV917515 JYP917512:JYR917515 KIL917512:KIN917515 KSH917512:KSJ917515 LCD917512:LCF917515 LLZ917512:LMB917515 LVV917512:LVX917515 MFR917512:MFT917515 MPN917512:MPP917515 MZJ917512:MZL917515 NJF917512:NJH917515 NTB917512:NTD917515 OCX917512:OCZ917515 OMT917512:OMV917515 OWP917512:OWR917515 PGL917512:PGN917515 PQH917512:PQJ917515 QAD917512:QAF917515 QJZ917512:QKB917515 QTV917512:QTX917515 RDR917512:RDT917515 RNN917512:RNP917515 RXJ917512:RXL917515 SHF917512:SHH917515 SRB917512:SRD917515 TAX917512:TAZ917515 TKT917512:TKV917515 TUP917512:TUR917515 UEL917512:UEN917515 UOH917512:UOJ917515 UYD917512:UYF917515 VHZ917512:VIB917515 VRV917512:VRX917515 WBR917512:WBT917515 WLN917512:WLP917515 WVJ917512:WVL917515 B983048:D983051 IX983048:IZ983051 ST983048:SV983051 ACP983048:ACR983051 AML983048:AMN983051 AWH983048:AWJ983051 BGD983048:BGF983051 BPZ983048:BQB983051 BZV983048:BZX983051 CJR983048:CJT983051 CTN983048:CTP983051 DDJ983048:DDL983051 DNF983048:DNH983051 DXB983048:DXD983051 EGX983048:EGZ983051 EQT983048:EQV983051 FAP983048:FAR983051 FKL983048:FKN983051 FUH983048:FUJ983051 GED983048:GEF983051 GNZ983048:GOB983051 GXV983048:GXX983051 HHR983048:HHT983051 HRN983048:HRP983051 IBJ983048:IBL983051 ILF983048:ILH983051 IVB983048:IVD983051 JEX983048:JEZ983051 JOT983048:JOV983051 JYP983048:JYR983051 KIL983048:KIN983051 KSH983048:KSJ983051 LCD983048:LCF983051 LLZ983048:LMB983051 LVV983048:LVX983051 MFR983048:MFT983051 MPN983048:MPP983051 MZJ983048:MZL983051 NJF983048:NJH983051 NTB983048:NTD983051 OCX983048:OCZ983051 OMT983048:OMV983051 OWP983048:OWR983051 PGL983048:PGN983051 PQH983048:PQJ983051 QAD983048:QAF983051 QJZ983048:QKB983051 QTV983048:QTX983051 RDR983048:RDT983051 RNN983048:RNP983051 RXJ983048:RXL983051 SHF983048:SHH983051 SRB983048:SRD983051 TAX983048:TAZ983051 TKT983048:TKV983051 TUP983048:TUR983051 UEL983048:UEN983051 UOH983048:UOJ983051 UYD983048:UYF983051 VHZ983048:VIB983051 VRV983048:VRX983051 WBR983048:WBT983051 WLN983048:WLP983051 WVJ983048:WVL983051">
      <formula1>$AM$2</formula1>
    </dataValidation>
  </dataValidations>
  <pageMargins left="0.6692913385826772" right="0.27559055118110237" top="0.39370078740157483" bottom="0.35433070866141736" header="0.31496062992125984" footer="0.31496062992125984"/>
  <pageSetup paperSize="9" scale="99" fitToWidth="1" fitToHeight="1" orientation="portrait" usePrinterDefaults="1" r:id="rId1"/>
  <headerFooter alignWithMargins="0"/>
  <rowBreaks count="1" manualBreakCount="1">
    <brk id="31" max="3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sheetPr>
  <dimension ref="A2:M30"/>
  <sheetViews>
    <sheetView view="pageBreakPreview" zoomScaleSheetLayoutView="100" workbookViewId="0"/>
  </sheetViews>
  <sheetFormatPr defaultRowHeight="27" customHeight="1"/>
  <cols>
    <col min="1" max="1" width="5.75" style="1033" customWidth="1"/>
    <col min="2" max="2" width="7.75" style="1033" customWidth="1"/>
    <col min="3" max="3" width="6" style="1033" customWidth="1"/>
    <col min="4" max="9" width="11.625" style="1033" customWidth="1"/>
    <col min="10" max="16384" width="9" style="1033" customWidth="1"/>
  </cols>
  <sheetData>
    <row r="2" spans="1:9" ht="27" customHeight="1">
      <c r="A2" s="1145" t="s">
        <v>150</v>
      </c>
      <c r="B2" s="1145"/>
      <c r="C2" s="1145"/>
      <c r="D2" s="1145"/>
      <c r="E2" s="1145"/>
      <c r="F2" s="1145"/>
      <c r="G2" s="1145"/>
      <c r="H2" s="1145"/>
      <c r="I2" s="1145"/>
    </row>
    <row r="3" spans="1:9" ht="27" customHeight="1">
      <c r="A3" s="1146" t="s">
        <v>10</v>
      </c>
      <c r="B3" s="33"/>
      <c r="C3" s="33"/>
      <c r="D3" s="33"/>
      <c r="E3" s="33"/>
      <c r="F3" s="33"/>
      <c r="G3" s="33"/>
      <c r="H3" s="33"/>
      <c r="I3" s="33"/>
    </row>
    <row r="4" spans="1:9" s="1144" customFormat="1" ht="27" customHeight="1">
      <c r="A4" s="1147"/>
      <c r="B4" s="1150" t="s">
        <v>797</v>
      </c>
      <c r="C4" s="1155"/>
      <c r="D4" s="1160"/>
      <c r="E4" s="1160"/>
      <c r="F4" s="1160"/>
      <c r="G4" s="1160"/>
      <c r="H4" s="1160"/>
      <c r="I4" s="1164"/>
    </row>
    <row r="5" spans="1:9" s="1144" customFormat="1" ht="35.25" customHeight="1">
      <c r="A5" s="1147"/>
      <c r="B5" s="1151"/>
      <c r="C5" s="1156"/>
      <c r="D5" s="1161"/>
      <c r="E5" s="1161"/>
      <c r="F5" s="1161"/>
      <c r="G5" s="1161"/>
      <c r="H5" s="1161"/>
      <c r="I5" s="1165"/>
    </row>
    <row r="6" spans="1:9" s="1144" customFormat="1" ht="26.1" customHeight="1">
      <c r="A6" s="1148"/>
      <c r="B6" s="1152" t="s">
        <v>147</v>
      </c>
      <c r="C6" s="1157"/>
      <c r="D6" s="1162" t="s">
        <v>827</v>
      </c>
      <c r="E6" s="1162"/>
      <c r="F6" s="1162"/>
      <c r="G6" s="1162"/>
      <c r="H6" s="1162"/>
      <c r="I6" s="1166"/>
    </row>
    <row r="7" spans="1:9" s="1144" customFormat="1" ht="26.1" customHeight="1">
      <c r="A7" s="1148"/>
      <c r="B7" s="1152"/>
      <c r="C7" s="1157"/>
      <c r="D7" s="1162"/>
      <c r="E7" s="1162"/>
      <c r="F7" s="1162"/>
      <c r="G7" s="1162"/>
      <c r="H7" s="1162"/>
      <c r="I7" s="1166"/>
    </row>
    <row r="8" spans="1:9" s="1144" customFormat="1" ht="26.1" customHeight="1">
      <c r="A8" s="1148"/>
      <c r="B8" s="1152"/>
      <c r="C8" s="1157"/>
      <c r="D8" s="1162"/>
      <c r="E8" s="1162"/>
      <c r="F8" s="1162"/>
      <c r="G8" s="1162"/>
      <c r="H8" s="1162"/>
      <c r="I8" s="1166"/>
    </row>
    <row r="9" spans="1:9" s="1144" customFormat="1" ht="26.1" customHeight="1">
      <c r="A9" s="1148"/>
      <c r="B9" s="1152"/>
      <c r="C9" s="1157"/>
      <c r="D9" s="1162"/>
      <c r="E9" s="1162"/>
      <c r="F9" s="1162"/>
      <c r="G9" s="1162"/>
      <c r="H9" s="1162"/>
      <c r="I9" s="1166"/>
    </row>
    <row r="10" spans="1:9" s="1144" customFormat="1" ht="26.1" customHeight="1">
      <c r="A10" s="1148"/>
      <c r="B10" s="1152"/>
      <c r="C10" s="1157"/>
      <c r="D10" s="1162"/>
      <c r="E10" s="1162"/>
      <c r="F10" s="1162"/>
      <c r="G10" s="1162"/>
      <c r="H10" s="1162"/>
      <c r="I10" s="1166"/>
    </row>
    <row r="11" spans="1:9" s="1144" customFormat="1" ht="26.1" customHeight="1">
      <c r="A11" s="1148"/>
      <c r="B11" s="1152"/>
      <c r="C11" s="1157"/>
      <c r="D11" s="1162"/>
      <c r="E11" s="1162"/>
      <c r="F11" s="1162"/>
      <c r="G11" s="1162"/>
      <c r="H11" s="1162"/>
      <c r="I11" s="1166"/>
    </row>
    <row r="12" spans="1:9" s="1144" customFormat="1" ht="26.1" customHeight="1">
      <c r="A12" s="1148"/>
      <c r="B12" s="1152"/>
      <c r="C12" s="1157"/>
      <c r="D12" s="1162"/>
      <c r="E12" s="1162"/>
      <c r="F12" s="1162"/>
      <c r="G12" s="1162"/>
      <c r="H12" s="1162"/>
      <c r="I12" s="1166"/>
    </row>
    <row r="13" spans="1:9" s="1144" customFormat="1" ht="26.1" customHeight="1">
      <c r="A13" s="1148"/>
      <c r="B13" s="1152"/>
      <c r="C13" s="1157"/>
      <c r="D13" s="1162"/>
      <c r="E13" s="1162"/>
      <c r="F13" s="1162"/>
      <c r="G13" s="1162"/>
      <c r="H13" s="1162"/>
      <c r="I13" s="1166"/>
    </row>
    <row r="14" spans="1:9" s="1144" customFormat="1" ht="26.1" customHeight="1">
      <c r="A14" s="1148"/>
      <c r="B14" s="1152"/>
      <c r="C14" s="1157"/>
      <c r="D14" s="1162"/>
      <c r="E14" s="1162"/>
      <c r="F14" s="1162"/>
      <c r="G14" s="1162"/>
      <c r="H14" s="1162"/>
      <c r="I14" s="1166"/>
    </row>
    <row r="15" spans="1:9" s="1144" customFormat="1" ht="26.1" customHeight="1">
      <c r="A15" s="1148"/>
      <c r="B15" s="1152"/>
      <c r="C15" s="1157"/>
      <c r="D15" s="1162"/>
      <c r="E15" s="1162"/>
      <c r="F15" s="1162"/>
      <c r="G15" s="1162"/>
      <c r="H15" s="1162"/>
      <c r="I15" s="1166"/>
    </row>
    <row r="16" spans="1:9" s="1144" customFormat="1" ht="26.1" customHeight="1">
      <c r="A16" s="1148"/>
      <c r="B16" s="1153"/>
      <c r="C16" s="1158"/>
      <c r="D16" s="1163"/>
      <c r="E16" s="1163"/>
      <c r="F16" s="1163"/>
      <c r="G16" s="1163"/>
      <c r="H16" s="1163"/>
      <c r="I16" s="1167"/>
    </row>
    <row r="17" spans="1:13" s="1144" customFormat="1" ht="27" customHeight="1">
      <c r="A17" s="1148"/>
      <c r="B17" s="1154"/>
      <c r="C17" s="1159"/>
      <c r="D17" s="1159"/>
      <c r="E17" s="1159"/>
      <c r="F17" s="1159"/>
      <c r="G17" s="1159"/>
      <c r="H17" s="1159"/>
      <c r="I17" s="1168"/>
    </row>
    <row r="18" spans="1:13" s="1144" customFormat="1" ht="27" customHeight="1">
      <c r="A18" s="1148"/>
      <c r="B18" s="1150" t="s">
        <v>797</v>
      </c>
      <c r="C18" s="1155"/>
      <c r="D18" s="1160"/>
      <c r="E18" s="1160"/>
      <c r="F18" s="1160"/>
      <c r="G18" s="1160"/>
      <c r="H18" s="1160"/>
      <c r="I18" s="1164"/>
    </row>
    <row r="19" spans="1:13" s="1144" customFormat="1" ht="27" customHeight="1">
      <c r="A19" s="1148"/>
      <c r="B19" s="1151"/>
      <c r="C19" s="1156"/>
      <c r="D19" s="1161"/>
      <c r="E19" s="1161"/>
      <c r="F19" s="1161"/>
      <c r="G19" s="1161"/>
      <c r="H19" s="1161"/>
      <c r="I19" s="1165"/>
      <c r="M19" s="1144" t="s">
        <v>723</v>
      </c>
    </row>
    <row r="20" spans="1:13" s="1144" customFormat="1" ht="26.1" customHeight="1">
      <c r="A20" s="1148"/>
      <c r="B20" s="1152" t="s">
        <v>147</v>
      </c>
      <c r="C20" s="1157"/>
      <c r="D20" s="1162" t="s">
        <v>827</v>
      </c>
      <c r="E20" s="1162"/>
      <c r="F20" s="1162"/>
      <c r="G20" s="1162"/>
      <c r="H20" s="1162"/>
      <c r="I20" s="1166"/>
      <c r="M20" s="1144" t="s">
        <v>10</v>
      </c>
    </row>
    <row r="21" spans="1:13" s="1144" customFormat="1" ht="26.1" customHeight="1">
      <c r="A21" s="1148"/>
      <c r="B21" s="1152"/>
      <c r="C21" s="1157"/>
      <c r="D21" s="1162"/>
      <c r="E21" s="1162"/>
      <c r="F21" s="1162"/>
      <c r="G21" s="1162"/>
      <c r="H21" s="1162"/>
      <c r="I21" s="1166"/>
      <c r="M21" s="1144" t="s">
        <v>533</v>
      </c>
    </row>
    <row r="22" spans="1:13" ht="26.1" customHeight="1">
      <c r="A22" s="1148"/>
      <c r="B22" s="1152"/>
      <c r="C22" s="1157"/>
      <c r="D22" s="1162"/>
      <c r="E22" s="1162"/>
      <c r="F22" s="1162"/>
      <c r="G22" s="1162"/>
      <c r="H22" s="1162"/>
      <c r="I22" s="1166"/>
      <c r="M22" s="1033" t="s">
        <v>836</v>
      </c>
    </row>
    <row r="23" spans="1:13" ht="26.1" customHeight="1">
      <c r="A23" s="1148"/>
      <c r="B23" s="1152"/>
      <c r="C23" s="1157"/>
      <c r="D23" s="1162"/>
      <c r="E23" s="1162"/>
      <c r="F23" s="1162"/>
      <c r="G23" s="1162"/>
      <c r="H23" s="1162"/>
      <c r="I23" s="1166"/>
    </row>
    <row r="24" spans="1:13" ht="26.1" customHeight="1">
      <c r="A24" s="1148"/>
      <c r="B24" s="1152"/>
      <c r="C24" s="1157"/>
      <c r="D24" s="1162"/>
      <c r="E24" s="1162"/>
      <c r="F24" s="1162"/>
      <c r="G24" s="1162"/>
      <c r="H24" s="1162"/>
      <c r="I24" s="1166"/>
    </row>
    <row r="25" spans="1:13" ht="26.1" customHeight="1">
      <c r="A25" s="1148"/>
      <c r="B25" s="1152"/>
      <c r="C25" s="1157"/>
      <c r="D25" s="1162"/>
      <c r="E25" s="1162"/>
      <c r="F25" s="1162"/>
      <c r="G25" s="1162"/>
      <c r="H25" s="1162"/>
      <c r="I25" s="1166"/>
    </row>
    <row r="26" spans="1:13" ht="26.1" customHeight="1">
      <c r="A26" s="1148"/>
      <c r="B26" s="1152"/>
      <c r="C26" s="1157"/>
      <c r="D26" s="1162"/>
      <c r="E26" s="1162"/>
      <c r="F26" s="1162"/>
      <c r="G26" s="1162"/>
      <c r="H26" s="1162"/>
      <c r="I26" s="1166"/>
    </row>
    <row r="27" spans="1:13" ht="26.1" customHeight="1">
      <c r="A27" s="1148"/>
      <c r="B27" s="1152"/>
      <c r="C27" s="1157"/>
      <c r="D27" s="1162"/>
      <c r="E27" s="1162"/>
      <c r="F27" s="1162"/>
      <c r="G27" s="1162"/>
      <c r="H27" s="1162"/>
      <c r="I27" s="1166"/>
    </row>
    <row r="28" spans="1:13" ht="26.1" customHeight="1">
      <c r="A28" s="1148"/>
      <c r="B28" s="1152"/>
      <c r="C28" s="1157"/>
      <c r="D28" s="1162"/>
      <c r="E28" s="1162"/>
      <c r="F28" s="1162"/>
      <c r="G28" s="1162"/>
      <c r="H28" s="1162"/>
      <c r="I28" s="1166"/>
    </row>
    <row r="29" spans="1:13" ht="26.1" customHeight="1">
      <c r="A29" s="1148"/>
      <c r="B29" s="1152"/>
      <c r="C29" s="1157"/>
      <c r="D29" s="1162"/>
      <c r="E29" s="1162"/>
      <c r="F29" s="1162"/>
      <c r="G29" s="1162"/>
      <c r="H29" s="1162"/>
      <c r="I29" s="1166"/>
    </row>
    <row r="30" spans="1:13" ht="26.1" customHeight="1">
      <c r="A30" s="1149"/>
      <c r="B30" s="1153"/>
      <c r="C30" s="1158"/>
      <c r="D30" s="1163"/>
      <c r="E30" s="1163"/>
      <c r="F30" s="1163"/>
      <c r="G30" s="1163"/>
      <c r="H30" s="1163"/>
      <c r="I30" s="1167"/>
    </row>
  </sheetData>
  <mergeCells count="12">
    <mergeCell ref="A2:I2"/>
    <mergeCell ref="B3:I3"/>
    <mergeCell ref="B17:I17"/>
    <mergeCell ref="B4:C5"/>
    <mergeCell ref="D4:I5"/>
    <mergeCell ref="B18:C19"/>
    <mergeCell ref="D18:I19"/>
    <mergeCell ref="A3:A30"/>
    <mergeCell ref="B6:C16"/>
    <mergeCell ref="D6:I16"/>
    <mergeCell ref="B20:C30"/>
    <mergeCell ref="D20:I30"/>
  </mergeCells>
  <phoneticPr fontId="5"/>
  <dataValidations count="1">
    <dataValidation type="list" allowBlank="1" showDropDown="0" showInputMessage="1" showErrorMessage="1" sqref="A3:A30">
      <formula1>$M$19:$M$22</formula1>
    </dataValidation>
  </dataValidations>
  <pageMargins left="0.7" right="0.7" top="0.75" bottom="0.75" header="0.3" footer="0.3"/>
  <pageSetup paperSize="9" fitToWidth="1" fitToHeight="1" orientation="portrait" usePrinterDefaults="1"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B1:P13"/>
  <sheetViews>
    <sheetView view="pageBreakPreview" zoomScaleSheetLayoutView="100" workbookViewId="0">
      <selection activeCell="B1" sqref="B1:P1"/>
    </sheetView>
  </sheetViews>
  <sheetFormatPr defaultRowHeight="13.5"/>
  <cols>
    <col min="1" max="1" width="4.75" style="1169" customWidth="1"/>
    <col min="2" max="2" width="16.125" style="1169" customWidth="1"/>
    <col min="3" max="3" width="11.375" style="1169" customWidth="1"/>
    <col min="4" max="4" width="9" style="1169" customWidth="1"/>
    <col min="5" max="5" width="14.75" style="1169" customWidth="1"/>
    <col min="6" max="8" width="9" style="1169" customWidth="1"/>
    <col min="9" max="9" width="12.5" style="1169" customWidth="1"/>
    <col min="10" max="12" width="9" style="1169" customWidth="1"/>
    <col min="13" max="13" width="12.5" style="1169" customWidth="1"/>
    <col min="14" max="14" width="10.375" style="1169" customWidth="1"/>
    <col min="15" max="15" width="10.875" style="1169" customWidth="1"/>
    <col min="16" max="16" width="13.875" style="1169" customWidth="1"/>
    <col min="17" max="16384" width="9" style="1169" customWidth="1"/>
  </cols>
  <sheetData>
    <row r="1" spans="2:16" ht="33" customHeight="1">
      <c r="B1" s="1170" t="s">
        <v>290</v>
      </c>
      <c r="C1" s="1170"/>
      <c r="D1" s="1170"/>
      <c r="E1" s="1170"/>
      <c r="F1" s="1170"/>
      <c r="G1" s="1170"/>
      <c r="H1" s="1170"/>
      <c r="I1" s="1170"/>
      <c r="J1" s="1170"/>
      <c r="K1" s="1170"/>
      <c r="L1" s="1170"/>
      <c r="M1" s="1170"/>
      <c r="N1" s="1170"/>
      <c r="O1" s="1170"/>
      <c r="P1" s="1170"/>
    </row>
    <row r="2" spans="2:16" ht="23.25" customHeight="1">
      <c r="O2" s="1169" t="s">
        <v>428</v>
      </c>
    </row>
    <row r="3" spans="2:16" ht="24.95" customHeight="1">
      <c r="B3" s="1171" t="s">
        <v>130</v>
      </c>
      <c r="C3" s="1171" t="s">
        <v>207</v>
      </c>
      <c r="D3" s="1171" t="s">
        <v>798</v>
      </c>
      <c r="E3" s="1171" t="s">
        <v>499</v>
      </c>
      <c r="F3" s="1171" t="s">
        <v>205</v>
      </c>
      <c r="G3" s="1171"/>
      <c r="H3" s="1171" t="s">
        <v>377</v>
      </c>
      <c r="I3" s="1176" t="s">
        <v>783</v>
      </c>
      <c r="J3" s="1171" t="s">
        <v>799</v>
      </c>
      <c r="K3" s="1171"/>
      <c r="L3" s="1171" t="s">
        <v>800</v>
      </c>
      <c r="M3" s="1171"/>
      <c r="N3" s="1171" t="s">
        <v>801</v>
      </c>
      <c r="O3" s="1171"/>
      <c r="P3" s="1176" t="s">
        <v>746</v>
      </c>
    </row>
    <row r="4" spans="2:16" ht="24.95" customHeight="1">
      <c r="B4" s="1171"/>
      <c r="C4" s="1171"/>
      <c r="D4" s="1171"/>
      <c r="E4" s="1171"/>
      <c r="F4" s="1171" t="s">
        <v>802</v>
      </c>
      <c r="G4" s="1171" t="s">
        <v>249</v>
      </c>
      <c r="H4" s="1171"/>
      <c r="I4" s="1177"/>
      <c r="J4" s="1171" t="s">
        <v>803</v>
      </c>
      <c r="K4" s="1171" t="s">
        <v>24</v>
      </c>
      <c r="L4" s="1171" t="s">
        <v>460</v>
      </c>
      <c r="M4" s="1171" t="s">
        <v>124</v>
      </c>
      <c r="N4" s="1171" t="s">
        <v>804</v>
      </c>
      <c r="O4" s="1171" t="s">
        <v>585</v>
      </c>
      <c r="P4" s="1177"/>
    </row>
    <row r="5" spans="2:16" ht="30" customHeight="1">
      <c r="B5" s="1171"/>
      <c r="C5" s="1172"/>
      <c r="D5" s="1171"/>
      <c r="E5" s="1173"/>
      <c r="F5" s="1174"/>
      <c r="G5" s="1174"/>
      <c r="H5" s="1175"/>
      <c r="I5" s="1175"/>
      <c r="J5" s="1175"/>
      <c r="K5" s="1171"/>
      <c r="L5" s="1171"/>
      <c r="M5" s="1174"/>
      <c r="N5" s="1171"/>
      <c r="O5" s="1171"/>
      <c r="P5" s="1171"/>
    </row>
    <row r="6" spans="2:16" ht="30" customHeight="1">
      <c r="B6" s="1171"/>
      <c r="C6" s="1171"/>
      <c r="D6" s="1171"/>
      <c r="E6" s="1171"/>
      <c r="F6" s="1171"/>
      <c r="G6" s="1171"/>
      <c r="H6" s="1171"/>
      <c r="I6" s="1171"/>
      <c r="J6" s="1171"/>
      <c r="K6" s="1171"/>
      <c r="L6" s="1171"/>
      <c r="M6" s="1171"/>
      <c r="N6" s="1171"/>
      <c r="O6" s="1171"/>
      <c r="P6" s="1171"/>
    </row>
    <row r="7" spans="2:16" ht="30" customHeight="1">
      <c r="B7" s="1171"/>
      <c r="C7" s="1171"/>
      <c r="D7" s="1171"/>
      <c r="E7" s="1171"/>
      <c r="F7" s="1171"/>
      <c r="G7" s="1171"/>
      <c r="H7" s="1171"/>
      <c r="I7" s="1171"/>
      <c r="J7" s="1171"/>
      <c r="K7" s="1171"/>
      <c r="L7" s="1171"/>
      <c r="M7" s="1171"/>
      <c r="N7" s="1171"/>
      <c r="O7" s="1171"/>
      <c r="P7" s="1171"/>
    </row>
    <row r="8" spans="2:16" ht="30" customHeight="1">
      <c r="B8" s="1171"/>
      <c r="C8" s="1171"/>
      <c r="D8" s="1171"/>
      <c r="E8" s="1171"/>
      <c r="F8" s="1171"/>
      <c r="G8" s="1171"/>
      <c r="H8" s="1171"/>
      <c r="I8" s="1171"/>
      <c r="J8" s="1171"/>
      <c r="K8" s="1171"/>
      <c r="L8" s="1171"/>
      <c r="M8" s="1171"/>
      <c r="N8" s="1171"/>
      <c r="O8" s="1171"/>
      <c r="P8" s="1171"/>
    </row>
    <row r="9" spans="2:16" ht="30" customHeight="1">
      <c r="B9" s="1171"/>
      <c r="C9" s="1171"/>
      <c r="D9" s="1171"/>
      <c r="E9" s="1171"/>
      <c r="F9" s="1171"/>
      <c r="G9" s="1171"/>
      <c r="H9" s="1171"/>
      <c r="I9" s="1171"/>
      <c r="J9" s="1171"/>
      <c r="K9" s="1171"/>
      <c r="L9" s="1171"/>
      <c r="M9" s="1171"/>
      <c r="N9" s="1171"/>
      <c r="O9" s="1171"/>
      <c r="P9" s="1171"/>
    </row>
    <row r="10" spans="2:16" ht="30" customHeight="1">
      <c r="B10" s="1171"/>
      <c r="C10" s="1171"/>
      <c r="D10" s="1171"/>
      <c r="E10" s="1171"/>
      <c r="F10" s="1171"/>
      <c r="G10" s="1171"/>
      <c r="H10" s="1171"/>
      <c r="I10" s="1171"/>
      <c r="J10" s="1171"/>
      <c r="K10" s="1171"/>
      <c r="L10" s="1171"/>
      <c r="M10" s="1171"/>
      <c r="N10" s="1171"/>
      <c r="O10" s="1171"/>
      <c r="P10" s="1171"/>
    </row>
    <row r="11" spans="2:16" ht="30" customHeight="1">
      <c r="B11" s="1171"/>
      <c r="C11" s="1171"/>
      <c r="D11" s="1171"/>
      <c r="E11" s="1171"/>
      <c r="F11" s="1171"/>
      <c r="G11" s="1171"/>
      <c r="H11" s="1171"/>
      <c r="I11" s="1171"/>
      <c r="J11" s="1171"/>
      <c r="K11" s="1171"/>
      <c r="L11" s="1171"/>
      <c r="M11" s="1171"/>
      <c r="N11" s="1171"/>
      <c r="O11" s="1171"/>
      <c r="P11" s="1171"/>
    </row>
    <row r="12" spans="2:16" ht="30" customHeight="1">
      <c r="B12" s="1171"/>
      <c r="C12" s="1171"/>
      <c r="D12" s="1171"/>
      <c r="E12" s="1171"/>
      <c r="F12" s="1171"/>
      <c r="G12" s="1171"/>
      <c r="H12" s="1171"/>
      <c r="I12" s="1171"/>
      <c r="J12" s="1171"/>
      <c r="K12" s="1171"/>
      <c r="L12" s="1171"/>
      <c r="M12" s="1171"/>
      <c r="N12" s="1171"/>
      <c r="O12" s="1171"/>
      <c r="P12" s="1171"/>
    </row>
    <row r="13" spans="2:16" ht="30" customHeight="1">
      <c r="B13" s="1171"/>
      <c r="C13" s="1171"/>
      <c r="D13" s="1171"/>
      <c r="E13" s="1171"/>
      <c r="F13" s="1171"/>
      <c r="G13" s="1171"/>
      <c r="H13" s="1171"/>
      <c r="I13" s="1171"/>
      <c r="J13" s="1171"/>
      <c r="K13" s="1171"/>
      <c r="L13" s="1171"/>
      <c r="M13" s="1171"/>
      <c r="N13" s="1171"/>
      <c r="O13" s="1171"/>
      <c r="P13" s="1171"/>
    </row>
    <row r="14" spans="2:16" ht="20.100000000000001" customHeight="1"/>
    <row r="15" spans="2:16" ht="20.100000000000001" customHeight="1"/>
    <row r="16" spans="2: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sheetData>
  <mergeCells count="12">
    <mergeCell ref="B1:P1"/>
    <mergeCell ref="F3:G3"/>
    <mergeCell ref="J3:K3"/>
    <mergeCell ref="L3:M3"/>
    <mergeCell ref="N3:O3"/>
    <mergeCell ref="B3:B4"/>
    <mergeCell ref="C3:C4"/>
    <mergeCell ref="D3:D4"/>
    <mergeCell ref="E3:E4"/>
    <mergeCell ref="H3:H4"/>
    <mergeCell ref="I3:I4"/>
    <mergeCell ref="P3:P4"/>
  </mergeCells>
  <phoneticPr fontId="5"/>
  <pageMargins left="0.9055118110236221" right="0.21666666666666667" top="0.78740157480314965" bottom="0.78740157480314965" header="0.31496062992125984" footer="0.31496062992125984"/>
  <pageSetup paperSize="9" scale="56" fitToWidth="1" fitToHeight="1" orientation="portrait" usePrinterDefaults="1" r:id="rId1"/>
  <headerFooter differentFirst="1">
    <firstHeader>&amp;R&amp;16（参考様式第１号）</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dimension ref="B5:P17"/>
  <sheetViews>
    <sheetView view="pageBreakPreview" zoomScaleSheetLayoutView="100" workbookViewId="0">
      <selection activeCell="E25" sqref="E25"/>
    </sheetView>
  </sheetViews>
  <sheetFormatPr defaultRowHeight="13.5"/>
  <cols>
    <col min="1" max="1" width="4.75" style="1169" customWidth="1"/>
    <col min="2" max="2" width="16.125" style="1169" customWidth="1"/>
    <col min="3" max="3" width="11.375" style="1169" customWidth="1"/>
    <col min="4" max="4" width="12" style="1169" bestFit="1" customWidth="1"/>
    <col min="5" max="5" width="20.375" style="1169" customWidth="1"/>
    <col min="6" max="8" width="9" style="1169" customWidth="1"/>
    <col min="9" max="9" width="12.5" style="1169" customWidth="1"/>
    <col min="10" max="12" width="9" style="1169" customWidth="1"/>
    <col min="13" max="13" width="12.25" style="1169" customWidth="1"/>
    <col min="14" max="14" width="10.375" style="1169" customWidth="1"/>
    <col min="15" max="15" width="10.875" style="1169" customWidth="1"/>
    <col min="16" max="16" width="13.875" style="1169" customWidth="1"/>
    <col min="17" max="16384" width="9" style="1169" customWidth="1"/>
  </cols>
  <sheetData>
    <row r="5" spans="2:16" ht="33" customHeight="1">
      <c r="B5" s="1170" t="s">
        <v>290</v>
      </c>
      <c r="C5" s="1170"/>
      <c r="D5" s="1170"/>
      <c r="E5" s="1170"/>
      <c r="F5" s="1170"/>
      <c r="G5" s="1170"/>
      <c r="H5" s="1170"/>
      <c r="I5" s="1170"/>
      <c r="J5" s="1170"/>
      <c r="K5" s="1170"/>
      <c r="L5" s="1170"/>
      <c r="M5" s="1170"/>
      <c r="N5" s="1170"/>
      <c r="O5" s="1170"/>
      <c r="P5" s="1170"/>
    </row>
    <row r="6" spans="2:16" ht="23.25" customHeight="1">
      <c r="O6" s="1169" t="s">
        <v>805</v>
      </c>
    </row>
    <row r="7" spans="2:16" ht="24.95" customHeight="1">
      <c r="B7" s="1171" t="s">
        <v>130</v>
      </c>
      <c r="C7" s="1171" t="s">
        <v>207</v>
      </c>
      <c r="D7" s="1171" t="s">
        <v>798</v>
      </c>
      <c r="E7" s="1171" t="s">
        <v>499</v>
      </c>
      <c r="F7" s="1171" t="s">
        <v>205</v>
      </c>
      <c r="G7" s="1171"/>
      <c r="H7" s="1171" t="s">
        <v>377</v>
      </c>
      <c r="I7" s="1176" t="s">
        <v>783</v>
      </c>
      <c r="J7" s="1171" t="s">
        <v>799</v>
      </c>
      <c r="K7" s="1171"/>
      <c r="L7" s="1171" t="s">
        <v>800</v>
      </c>
      <c r="M7" s="1171"/>
      <c r="N7" s="1171" t="s">
        <v>801</v>
      </c>
      <c r="O7" s="1171"/>
      <c r="P7" s="1176" t="s">
        <v>746</v>
      </c>
    </row>
    <row r="8" spans="2:16" ht="24.95" customHeight="1">
      <c r="B8" s="1171"/>
      <c r="C8" s="1171"/>
      <c r="D8" s="1171"/>
      <c r="E8" s="1171"/>
      <c r="F8" s="1171" t="s">
        <v>802</v>
      </c>
      <c r="G8" s="1171" t="s">
        <v>249</v>
      </c>
      <c r="H8" s="1171"/>
      <c r="I8" s="1177"/>
      <c r="J8" s="1171" t="s">
        <v>803</v>
      </c>
      <c r="K8" s="1171" t="s">
        <v>24</v>
      </c>
      <c r="L8" s="1171" t="s">
        <v>460</v>
      </c>
      <c r="M8" s="1171" t="s">
        <v>124</v>
      </c>
      <c r="N8" s="1171" t="s">
        <v>804</v>
      </c>
      <c r="O8" s="1171" t="s">
        <v>585</v>
      </c>
      <c r="P8" s="1177"/>
    </row>
    <row r="9" spans="2:16" ht="30" customHeight="1">
      <c r="B9" s="1178" t="s">
        <v>806</v>
      </c>
      <c r="C9" s="1178" t="s">
        <v>807</v>
      </c>
      <c r="D9" s="1178" t="s">
        <v>648</v>
      </c>
      <c r="E9" s="1178" t="s">
        <v>570</v>
      </c>
      <c r="F9" s="1181">
        <v>41365</v>
      </c>
      <c r="G9" s="1181">
        <v>41455</v>
      </c>
      <c r="H9" s="1182">
        <v>5000000</v>
      </c>
      <c r="I9" s="1183" t="s">
        <v>808</v>
      </c>
      <c r="J9" s="1182">
        <v>2500000</v>
      </c>
      <c r="K9" s="1182">
        <v>2500000</v>
      </c>
      <c r="L9" s="1178">
        <v>7</v>
      </c>
      <c r="M9" s="1181">
        <f>G9+(L9*365)</f>
        <v>44010</v>
      </c>
      <c r="N9" s="1178" t="s">
        <v>809</v>
      </c>
      <c r="O9" s="1178" t="s">
        <v>809</v>
      </c>
      <c r="P9" s="1178"/>
    </row>
    <row r="10" spans="2:16" ht="30" customHeight="1">
      <c r="B10" s="1178" t="s">
        <v>394</v>
      </c>
      <c r="C10" s="1179" t="s">
        <v>811</v>
      </c>
      <c r="D10" s="1178" t="s">
        <v>22</v>
      </c>
      <c r="E10" s="1180" t="s">
        <v>812</v>
      </c>
      <c r="F10" s="1181">
        <v>41983</v>
      </c>
      <c r="G10" s="1181">
        <v>42045</v>
      </c>
      <c r="H10" s="1183">
        <v>3000000</v>
      </c>
      <c r="I10" s="1183" t="s">
        <v>808</v>
      </c>
      <c r="J10" s="1183">
        <v>1000000</v>
      </c>
      <c r="K10" s="1183">
        <v>2000000</v>
      </c>
      <c r="L10" s="1178">
        <v>7</v>
      </c>
      <c r="M10" s="1181">
        <f>G10+(L10*365)+1</f>
        <v>44601</v>
      </c>
      <c r="N10" s="1178" t="s">
        <v>809</v>
      </c>
      <c r="O10" s="1178" t="s">
        <v>809</v>
      </c>
      <c r="P10" s="1178"/>
    </row>
    <row r="11" spans="2:16" ht="30" customHeight="1">
      <c r="B11" s="1178" t="s">
        <v>813</v>
      </c>
      <c r="C11" s="1178" t="s">
        <v>756</v>
      </c>
      <c r="D11" s="1178" t="s">
        <v>22</v>
      </c>
      <c r="E11" s="1180" t="s">
        <v>29</v>
      </c>
      <c r="F11" s="1181">
        <v>42750</v>
      </c>
      <c r="G11" s="1181">
        <v>42814</v>
      </c>
      <c r="H11" s="1182">
        <v>2000000</v>
      </c>
      <c r="I11" s="1183" t="s">
        <v>808</v>
      </c>
      <c r="J11" s="1182">
        <v>2000000</v>
      </c>
      <c r="K11" s="1182">
        <v>0</v>
      </c>
      <c r="L11" s="1178">
        <v>7</v>
      </c>
      <c r="M11" s="1181">
        <f>G11+(L11*365)</f>
        <v>45369</v>
      </c>
      <c r="N11" s="1178" t="s">
        <v>809</v>
      </c>
      <c r="O11" s="1178" t="s">
        <v>809</v>
      </c>
      <c r="P11" s="1178"/>
    </row>
    <row r="12" spans="2:16" ht="30" customHeight="1">
      <c r="B12" s="1178"/>
      <c r="C12" s="1178"/>
      <c r="D12" s="1178"/>
      <c r="E12" s="1178"/>
      <c r="F12" s="1178"/>
      <c r="G12" s="1178"/>
      <c r="H12" s="1178"/>
      <c r="I12" s="1178"/>
      <c r="J12" s="1178"/>
      <c r="K12" s="1178"/>
      <c r="L12" s="1178"/>
      <c r="M12" s="1178"/>
      <c r="N12" s="1178"/>
      <c r="O12" s="1178"/>
      <c r="P12" s="1178"/>
    </row>
    <row r="13" spans="2:16" ht="30" customHeight="1">
      <c r="B13" s="1178"/>
      <c r="C13" s="1178"/>
      <c r="D13" s="1178"/>
      <c r="E13" s="1178"/>
      <c r="F13" s="1178"/>
      <c r="G13" s="1178"/>
      <c r="H13" s="1178"/>
      <c r="I13" s="1178"/>
      <c r="J13" s="1178"/>
      <c r="K13" s="1178"/>
      <c r="L13" s="1178"/>
      <c r="M13" s="1178"/>
      <c r="N13" s="1178"/>
      <c r="O13" s="1178"/>
      <c r="P13" s="1178"/>
    </row>
    <row r="14" spans="2:16" ht="30" customHeight="1">
      <c r="B14" s="1178"/>
      <c r="C14" s="1178"/>
      <c r="D14" s="1178"/>
      <c r="E14" s="1178"/>
      <c r="F14" s="1178"/>
      <c r="G14" s="1178"/>
      <c r="H14" s="1178"/>
      <c r="I14" s="1178"/>
      <c r="J14" s="1178"/>
      <c r="K14" s="1178"/>
      <c r="L14" s="1178"/>
      <c r="M14" s="1178"/>
      <c r="N14" s="1178"/>
      <c r="O14" s="1178"/>
      <c r="P14" s="1178"/>
    </row>
    <row r="15" spans="2:16" ht="30" customHeight="1">
      <c r="B15" s="1178"/>
      <c r="C15" s="1178"/>
      <c r="D15" s="1178"/>
      <c r="E15" s="1178"/>
      <c r="F15" s="1178"/>
      <c r="G15" s="1178"/>
      <c r="H15" s="1178"/>
      <c r="I15" s="1178"/>
      <c r="J15" s="1178"/>
      <c r="K15" s="1178"/>
      <c r="L15" s="1178"/>
      <c r="M15" s="1178"/>
      <c r="N15" s="1178"/>
      <c r="O15" s="1178"/>
      <c r="P15" s="1178"/>
    </row>
    <row r="16" spans="2:16" ht="30" customHeight="1">
      <c r="B16" s="1178"/>
      <c r="C16" s="1178"/>
      <c r="D16" s="1178"/>
      <c r="E16" s="1178"/>
      <c r="F16" s="1178"/>
      <c r="G16" s="1178"/>
      <c r="H16" s="1178"/>
      <c r="I16" s="1178"/>
      <c r="J16" s="1178"/>
      <c r="K16" s="1178"/>
      <c r="L16" s="1178"/>
      <c r="M16" s="1178"/>
      <c r="N16" s="1178"/>
      <c r="O16" s="1178"/>
      <c r="P16" s="1178"/>
    </row>
    <row r="17" spans="2:16" ht="30" customHeight="1">
      <c r="B17" s="1178"/>
      <c r="C17" s="1178"/>
      <c r="D17" s="1178"/>
      <c r="E17" s="1178"/>
      <c r="F17" s="1178"/>
      <c r="G17" s="1178"/>
      <c r="H17" s="1178"/>
      <c r="I17" s="1178"/>
      <c r="J17" s="1178"/>
      <c r="K17" s="1178"/>
      <c r="L17" s="1178"/>
      <c r="M17" s="1178"/>
      <c r="N17" s="1178"/>
      <c r="O17" s="1178"/>
      <c r="P17" s="1178"/>
    </row>
    <row r="18" spans="2:16" ht="20.100000000000001" customHeight="1"/>
    <row r="19" spans="2:16" ht="20.100000000000001" customHeight="1"/>
    <row r="20" spans="2:16" ht="20.100000000000001" customHeight="1"/>
    <row r="21" spans="2:16" ht="20.100000000000001" customHeight="1"/>
    <row r="22" spans="2:16" ht="20.100000000000001" customHeight="1"/>
    <row r="23" spans="2:16" ht="20.100000000000001" customHeight="1"/>
    <row r="24" spans="2:16" ht="20.100000000000001" customHeight="1"/>
    <row r="25" spans="2:16" ht="20.100000000000001" customHeight="1"/>
    <row r="26" spans="2:16" ht="20.100000000000001" customHeight="1"/>
    <row r="27" spans="2:16" ht="20.100000000000001" customHeight="1"/>
    <row r="28" spans="2:16" ht="20.100000000000001" customHeight="1"/>
    <row r="29" spans="2:16" ht="20.100000000000001" customHeight="1"/>
    <row r="30" spans="2:16" ht="20.100000000000001" customHeight="1"/>
    <row r="31" spans="2:16" ht="20.100000000000001" customHeight="1"/>
    <row r="32" spans="2:16" ht="20.100000000000001" customHeight="1"/>
    <row r="33" ht="20.100000000000001" customHeight="1"/>
    <row r="34" ht="20.100000000000001" customHeight="1"/>
  </sheetData>
  <mergeCells count="12">
    <mergeCell ref="B5:P5"/>
    <mergeCell ref="F7:G7"/>
    <mergeCell ref="J7:K7"/>
    <mergeCell ref="L7:M7"/>
    <mergeCell ref="N7:O7"/>
    <mergeCell ref="B7:B8"/>
    <mergeCell ref="C7:C8"/>
    <mergeCell ref="D7:D8"/>
    <mergeCell ref="E7:E8"/>
    <mergeCell ref="H7:H8"/>
    <mergeCell ref="I7:I8"/>
    <mergeCell ref="P7:P8"/>
  </mergeCells>
  <phoneticPr fontId="5"/>
  <pageMargins left="0.9055118110236221" right="0.9055118110236221" top="0.78740157480314965" bottom="0.78740157480314965" header="0.31496062992125984" footer="0.31496062992125984"/>
  <pageSetup paperSize="9" scale="48" fitToWidth="1" fitToHeight="1" orientation="portrait" usePrinterDefaults="1"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C29"/>
  <sheetViews>
    <sheetView view="pageBreakPreview" topLeftCell="A22" zoomScaleSheetLayoutView="100" workbookViewId="0">
      <selection activeCell="F30" sqref="F30"/>
    </sheetView>
  </sheetViews>
  <sheetFormatPr defaultRowHeight="13.5"/>
  <cols>
    <col min="1" max="1" width="6.5" customWidth="1"/>
    <col min="2" max="2" width="22.875" bestFit="1" customWidth="1"/>
    <col min="3" max="3" width="65.75" style="41" customWidth="1"/>
  </cols>
  <sheetData>
    <row r="2" spans="1:3" ht="17.25">
      <c r="A2" s="42" t="s">
        <v>222</v>
      </c>
      <c r="B2" s="42"/>
      <c r="C2" s="42"/>
    </row>
    <row r="3" spans="1:3" ht="30" customHeight="1">
      <c r="A3" s="43" t="s">
        <v>443</v>
      </c>
      <c r="B3" s="46" t="s">
        <v>406</v>
      </c>
      <c r="C3" s="46" t="s">
        <v>408</v>
      </c>
    </row>
    <row r="4" spans="1:3" ht="30" customHeight="1">
      <c r="A4" s="44">
        <v>1</v>
      </c>
      <c r="B4" s="47" t="s">
        <v>323</v>
      </c>
      <c r="C4" s="49" t="s">
        <v>435</v>
      </c>
    </row>
    <row r="5" spans="1:3" ht="30" customHeight="1">
      <c r="A5" s="45">
        <v>2</v>
      </c>
      <c r="B5" s="48" t="s">
        <v>299</v>
      </c>
      <c r="C5" s="50" t="s">
        <v>409</v>
      </c>
    </row>
    <row r="6" spans="1:3" ht="30" customHeight="1">
      <c r="A6" s="45">
        <v>3</v>
      </c>
      <c r="B6" s="48" t="s">
        <v>64</v>
      </c>
      <c r="C6" s="50" t="s">
        <v>244</v>
      </c>
    </row>
    <row r="7" spans="1:3" ht="30" customHeight="1">
      <c r="A7" s="45">
        <v>4</v>
      </c>
      <c r="B7" s="48" t="s">
        <v>301</v>
      </c>
      <c r="C7" s="50" t="s">
        <v>413</v>
      </c>
    </row>
    <row r="8" spans="1:3" ht="30" customHeight="1">
      <c r="A8" s="45">
        <v>5</v>
      </c>
      <c r="B8" s="48" t="s">
        <v>82</v>
      </c>
      <c r="C8" s="50" t="s">
        <v>436</v>
      </c>
    </row>
    <row r="9" spans="1:3" ht="30" customHeight="1">
      <c r="A9" s="45">
        <v>6</v>
      </c>
      <c r="B9" s="48" t="s">
        <v>304</v>
      </c>
      <c r="C9" s="50" t="s">
        <v>415</v>
      </c>
    </row>
    <row r="10" spans="1:3" ht="30" customHeight="1">
      <c r="A10" s="45">
        <v>7</v>
      </c>
      <c r="B10" s="48" t="s">
        <v>307</v>
      </c>
      <c r="C10" s="50" t="s">
        <v>213</v>
      </c>
    </row>
    <row r="11" spans="1:3" ht="30" customHeight="1">
      <c r="A11" s="45">
        <v>8</v>
      </c>
      <c r="B11" s="48" t="s">
        <v>309</v>
      </c>
      <c r="C11" s="50" t="s">
        <v>418</v>
      </c>
    </row>
    <row r="12" spans="1:3" ht="30" customHeight="1">
      <c r="A12" s="45">
        <v>9</v>
      </c>
      <c r="B12" s="48" t="s">
        <v>80</v>
      </c>
      <c r="C12" s="50" t="s">
        <v>177</v>
      </c>
    </row>
    <row r="13" spans="1:3" ht="30" customHeight="1">
      <c r="A13" s="45">
        <v>10</v>
      </c>
      <c r="B13" s="48" t="s">
        <v>67</v>
      </c>
      <c r="C13" s="50" t="s">
        <v>859</v>
      </c>
    </row>
    <row r="14" spans="1:3" ht="30" customHeight="1">
      <c r="A14" s="45">
        <v>11</v>
      </c>
      <c r="B14" s="48" t="s">
        <v>78</v>
      </c>
      <c r="C14" s="50" t="s">
        <v>645</v>
      </c>
    </row>
    <row r="15" spans="1:3" ht="30" customHeight="1">
      <c r="A15" s="45">
        <v>12</v>
      </c>
      <c r="B15" s="48" t="s">
        <v>311</v>
      </c>
      <c r="C15" s="50" t="s">
        <v>420</v>
      </c>
    </row>
    <row r="16" spans="1:3" ht="30" customHeight="1">
      <c r="A16" s="45">
        <v>13</v>
      </c>
      <c r="B16" s="48" t="s">
        <v>61</v>
      </c>
      <c r="C16" s="50" t="s">
        <v>23</v>
      </c>
    </row>
    <row r="17" spans="1:3" ht="30" customHeight="1">
      <c r="A17" s="45">
        <v>14</v>
      </c>
      <c r="B17" s="48" t="s">
        <v>338</v>
      </c>
      <c r="C17" s="50" t="s">
        <v>421</v>
      </c>
    </row>
    <row r="18" spans="1:3" ht="30" customHeight="1">
      <c r="A18" s="45">
        <v>15</v>
      </c>
      <c r="B18" s="48" t="s">
        <v>318</v>
      </c>
      <c r="C18" s="50" t="s">
        <v>423</v>
      </c>
    </row>
    <row r="19" spans="1:3" ht="30" customHeight="1">
      <c r="A19" s="45">
        <v>16</v>
      </c>
      <c r="B19" s="48" t="s">
        <v>33</v>
      </c>
      <c r="C19" s="50" t="s">
        <v>424</v>
      </c>
    </row>
    <row r="20" spans="1:3" ht="30" customHeight="1">
      <c r="A20" s="45">
        <v>17</v>
      </c>
      <c r="B20" s="48" t="s">
        <v>235</v>
      </c>
      <c r="C20" s="50" t="s">
        <v>391</v>
      </c>
    </row>
    <row r="21" spans="1:3" ht="30" customHeight="1">
      <c r="A21" s="45">
        <v>18</v>
      </c>
      <c r="B21" s="48" t="s">
        <v>319</v>
      </c>
      <c r="C21" s="50" t="s">
        <v>242</v>
      </c>
    </row>
    <row r="22" spans="1:3" ht="30" customHeight="1">
      <c r="A22" s="45">
        <v>19</v>
      </c>
      <c r="B22" s="48" t="s">
        <v>327</v>
      </c>
      <c r="C22" s="50" t="s">
        <v>3</v>
      </c>
    </row>
    <row r="23" spans="1:3" ht="30" customHeight="1">
      <c r="A23" s="45">
        <v>20</v>
      </c>
      <c r="B23" s="48" t="s">
        <v>332</v>
      </c>
      <c r="C23" s="50" t="s">
        <v>429</v>
      </c>
    </row>
    <row r="24" spans="1:3" ht="30" customHeight="1">
      <c r="A24" s="45">
        <v>21</v>
      </c>
      <c r="B24" s="48" t="s">
        <v>329</v>
      </c>
      <c r="C24" s="50" t="s">
        <v>650</v>
      </c>
    </row>
    <row r="25" spans="1:3" ht="30" customHeight="1">
      <c r="A25" s="45">
        <v>22</v>
      </c>
      <c r="B25" s="48" t="s">
        <v>270</v>
      </c>
      <c r="C25" s="50" t="s">
        <v>422</v>
      </c>
    </row>
    <row r="26" spans="1:3" ht="30" customHeight="1">
      <c r="A26" s="45">
        <v>23</v>
      </c>
      <c r="B26" s="48" t="s">
        <v>325</v>
      </c>
      <c r="C26" s="50" t="s">
        <v>188</v>
      </c>
    </row>
    <row r="27" spans="1:3" ht="30" customHeight="1">
      <c r="A27" s="45">
        <v>24</v>
      </c>
      <c r="B27" s="48" t="s">
        <v>652</v>
      </c>
      <c r="C27" s="50" t="s">
        <v>440</v>
      </c>
    </row>
    <row r="28" spans="1:3" ht="30" customHeight="1">
      <c r="A28" s="45">
        <v>25</v>
      </c>
      <c r="B28" s="48" t="s">
        <v>335</v>
      </c>
      <c r="C28" s="50" t="s">
        <v>100</v>
      </c>
    </row>
    <row r="29" spans="1:3" ht="30" customHeight="1">
      <c r="A29" s="45">
        <v>26</v>
      </c>
      <c r="B29" s="48" t="s">
        <v>24</v>
      </c>
      <c r="C29" s="50" t="s">
        <v>432</v>
      </c>
    </row>
    <row r="30" spans="1:3" ht="26.25" customHeight="1"/>
  </sheetData>
  <mergeCells count="1">
    <mergeCell ref="A2:C2"/>
  </mergeCells>
  <phoneticPr fontId="5"/>
  <printOptions horizontalCentered="1"/>
  <pageMargins left="0.23622047244094491" right="0.23622047244094491" top="0.74803149606299213" bottom="0.74803149606299213" header="0.31496062992125984" footer="0.31496062992125984"/>
  <pageSetup paperSize="9" scale="96"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F83"/>
  <sheetViews>
    <sheetView view="pageBreakPreview" zoomScaleNormal="85" zoomScaleSheetLayoutView="100" workbookViewId="0">
      <selection activeCell="F30" sqref="F30"/>
    </sheetView>
  </sheetViews>
  <sheetFormatPr defaultRowHeight="13.5"/>
  <cols>
    <col min="1" max="1" width="1.625" style="51" customWidth="1"/>
    <col min="2" max="2" width="6.125" style="51" customWidth="1"/>
    <col min="3" max="3" width="4.125" style="51" customWidth="1"/>
    <col min="4" max="4" width="16.375" style="51" customWidth="1"/>
    <col min="5" max="5" width="2.375" style="51" customWidth="1"/>
    <col min="6" max="6" width="9.625" style="52" customWidth="1"/>
    <col min="7" max="7" width="13.125" style="52" customWidth="1"/>
    <col min="8" max="8" width="10.5" style="52" customWidth="1"/>
    <col min="9" max="9" width="6.25" style="51" customWidth="1"/>
    <col min="10" max="10" width="1.75" style="51" customWidth="1"/>
    <col min="11" max="11" width="6.25" style="51" customWidth="1"/>
    <col min="12" max="12" width="10" style="51" hidden="1" customWidth="1"/>
    <col min="13" max="13" width="10.625" style="51" customWidth="1"/>
    <col min="14" max="14" width="10.375" style="51" customWidth="1"/>
    <col min="15" max="15" width="11.375" style="51" hidden="1" customWidth="1"/>
    <col min="16" max="16" width="10.625" style="51" customWidth="1"/>
    <col min="17" max="17" width="8.25" style="51" hidden="1" customWidth="1"/>
    <col min="18" max="19" width="10.625" style="51" customWidth="1"/>
    <col min="20" max="20" width="29.375" style="51" customWidth="1"/>
    <col min="21" max="21" width="2.375" style="51" customWidth="1"/>
    <col min="22" max="16384" width="9" style="51" customWidth="1"/>
  </cols>
  <sheetData>
    <row r="1" spans="1:32" ht="14.25">
      <c r="A1" s="56"/>
      <c r="B1" s="56"/>
      <c r="C1" s="56"/>
      <c r="D1" s="56"/>
      <c r="E1" s="56"/>
      <c r="F1" s="121"/>
      <c r="G1" s="121"/>
      <c r="H1" s="121"/>
      <c r="I1" s="56"/>
      <c r="J1" s="56"/>
      <c r="K1" s="56"/>
      <c r="L1" s="56"/>
      <c r="M1" s="56"/>
      <c r="N1" s="56"/>
      <c r="O1" s="56"/>
      <c r="P1" s="56"/>
      <c r="Q1" s="56"/>
      <c r="R1" s="56"/>
      <c r="S1" s="56"/>
      <c r="T1" s="56"/>
      <c r="U1" s="56"/>
    </row>
    <row r="2" spans="1:32" ht="23.25" customHeight="1">
      <c r="A2" s="56"/>
      <c r="B2" s="56"/>
      <c r="C2" s="69" t="s">
        <v>243</v>
      </c>
      <c r="D2" s="82"/>
      <c r="E2" s="103" t="s">
        <v>246</v>
      </c>
      <c r="F2" s="121"/>
      <c r="G2" s="121"/>
      <c r="H2" s="161" t="s">
        <v>660</v>
      </c>
      <c r="I2" s="175"/>
      <c r="J2" s="175"/>
      <c r="K2" s="175"/>
      <c r="L2" s="205"/>
      <c r="M2" s="214">
        <v>6</v>
      </c>
      <c r="N2" s="225" t="s">
        <v>258</v>
      </c>
      <c r="O2" s="225"/>
      <c r="P2" s="241"/>
      <c r="Q2" s="225"/>
      <c r="R2" s="259" t="s">
        <v>489</v>
      </c>
      <c r="S2" s="70"/>
      <c r="T2" s="56"/>
      <c r="U2" s="56"/>
    </row>
    <row r="3" spans="1:32" ht="15.75" customHeight="1">
      <c r="A3" s="56"/>
      <c r="B3" s="56"/>
      <c r="C3" s="56"/>
      <c r="D3" s="56"/>
      <c r="E3" s="56"/>
      <c r="F3" s="122"/>
      <c r="G3" s="122"/>
      <c r="H3" s="162" t="s">
        <v>50</v>
      </c>
      <c r="I3" s="176"/>
      <c r="J3" s="176"/>
      <c r="K3" s="194"/>
      <c r="L3" s="206"/>
      <c r="M3" s="215" t="s">
        <v>866</v>
      </c>
      <c r="N3" s="226"/>
      <c r="O3" s="236"/>
      <c r="P3" s="242" t="s">
        <v>34</v>
      </c>
      <c r="Q3" s="236"/>
      <c r="R3" s="260" t="str">
        <f>IF(M2="元","H30年末現在",IF(M2="","","Ｒ"&amp;M2-1&amp;"年末現在"))</f>
        <v>Ｒ5年末現在</v>
      </c>
      <c r="S3" s="265">
        <v>1000000</v>
      </c>
      <c r="T3" s="142" t="str">
        <f>IF(M2="元","H30.12.31現在の通帳残高",IF(M2="","","円　Ｒ"&amp;M2-1&amp;".12.31現在の通帳残高"))</f>
        <v>円　Ｒ5.12.31現在の通帳残高</v>
      </c>
      <c r="U3" s="287"/>
      <c r="V3" s="288"/>
      <c r="W3" s="288"/>
      <c r="X3" s="288"/>
      <c r="Y3" s="288"/>
      <c r="Z3" s="288"/>
      <c r="AA3" s="288"/>
      <c r="AB3" s="288"/>
      <c r="AC3" s="288"/>
      <c r="AD3" s="288"/>
      <c r="AE3" s="288"/>
      <c r="AF3" s="288"/>
    </row>
    <row r="4" spans="1:32" s="53" customFormat="1" ht="15.75" customHeight="1">
      <c r="A4" s="57"/>
      <c r="B4" s="57"/>
      <c r="C4" s="57"/>
      <c r="D4" s="83" t="s">
        <v>223</v>
      </c>
      <c r="E4" s="105"/>
      <c r="F4" s="123"/>
      <c r="G4" s="123"/>
      <c r="H4" s="163" t="s">
        <v>83</v>
      </c>
      <c r="I4" s="109"/>
      <c r="J4" s="109"/>
      <c r="K4" s="195"/>
      <c r="L4" s="207"/>
      <c r="M4" s="216" t="s">
        <v>190</v>
      </c>
      <c r="N4" s="227"/>
      <c r="O4" s="237"/>
      <c r="P4" s="243"/>
      <c r="Q4" s="251"/>
      <c r="R4" s="261" t="str">
        <f>IF(M2="","","Ｒ"&amp;M2&amp;"年末現在")</f>
        <v>Ｒ6年末現在</v>
      </c>
      <c r="S4" s="266">
        <v>1871579</v>
      </c>
      <c r="T4" s="273" t="str">
        <f>IF(M2="","","円　Ｒ"&amp;M2&amp;".12.31現在の通帳残高")</f>
        <v>円　Ｒ6.12.31現在の通帳残高</v>
      </c>
      <c r="U4" s="57"/>
    </row>
    <row r="5" spans="1:32" s="53" customFormat="1" ht="15.75" customHeight="1">
      <c r="A5" s="57"/>
      <c r="B5" s="57"/>
      <c r="C5" s="70"/>
      <c r="D5" s="84" t="s">
        <v>163</v>
      </c>
      <c r="E5" s="104"/>
      <c r="F5" s="124">
        <v>7000000</v>
      </c>
      <c r="G5" s="142" t="s">
        <v>447</v>
      </c>
      <c r="H5" s="142"/>
      <c r="I5" s="142"/>
      <c r="J5" s="142"/>
      <c r="K5" s="142"/>
      <c r="L5" s="142"/>
      <c r="M5" s="142"/>
      <c r="N5" s="142"/>
      <c r="O5" s="142"/>
      <c r="P5" s="142"/>
      <c r="Q5" s="142"/>
      <c r="R5" s="142"/>
      <c r="S5" s="142"/>
      <c r="T5" s="274"/>
      <c r="U5" s="57"/>
    </row>
    <row r="6" spans="1:32" s="53" customFormat="1" ht="15.75" customHeight="1">
      <c r="A6" s="57"/>
      <c r="B6" s="57"/>
      <c r="C6" s="70"/>
      <c r="D6" s="85" t="s">
        <v>165</v>
      </c>
      <c r="E6" s="106"/>
      <c r="F6" s="125">
        <v>0</v>
      </c>
      <c r="G6" s="143" t="s">
        <v>486</v>
      </c>
      <c r="H6" s="143"/>
      <c r="I6" s="143"/>
      <c r="J6" s="143"/>
      <c r="K6" s="143"/>
      <c r="L6" s="143"/>
      <c r="M6" s="143"/>
      <c r="N6" s="143"/>
      <c r="O6" s="143"/>
      <c r="P6" s="143"/>
      <c r="Q6" s="143"/>
      <c r="R6" s="143"/>
      <c r="S6" s="143"/>
      <c r="T6" s="275"/>
      <c r="U6" s="57"/>
    </row>
    <row r="7" spans="1:32" s="53" customFormat="1" ht="15.75" customHeight="1">
      <c r="A7" s="57"/>
      <c r="B7" s="57"/>
      <c r="C7" s="70"/>
      <c r="D7" s="86" t="s">
        <v>425</v>
      </c>
      <c r="E7" s="107"/>
      <c r="F7" s="126">
        <v>15</v>
      </c>
      <c r="G7" s="144" t="s">
        <v>451</v>
      </c>
      <c r="H7" s="144"/>
      <c r="I7" s="144"/>
      <c r="J7" s="144"/>
      <c r="K7" s="144"/>
      <c r="L7" s="144"/>
      <c r="M7" s="144"/>
      <c r="N7" s="144"/>
      <c r="O7" s="144"/>
      <c r="P7" s="144"/>
      <c r="Q7" s="144"/>
      <c r="R7" s="144"/>
      <c r="S7" s="144"/>
      <c r="T7" s="276"/>
      <c r="U7" s="57"/>
    </row>
    <row r="8" spans="1:32" s="53" customFormat="1" ht="15.75" customHeight="1">
      <c r="A8" s="57"/>
      <c r="B8" s="57"/>
      <c r="C8" s="70"/>
      <c r="D8" s="87" t="s">
        <v>185</v>
      </c>
      <c r="E8" s="108"/>
      <c r="F8" s="127">
        <f>SUM(F5:F7)</f>
        <v>7000015</v>
      </c>
      <c r="G8" s="145" t="s">
        <v>94</v>
      </c>
      <c r="H8" s="145"/>
      <c r="I8" s="145"/>
      <c r="J8" s="145"/>
      <c r="K8" s="145"/>
      <c r="L8" s="145"/>
      <c r="M8" s="145"/>
      <c r="N8" s="145"/>
      <c r="O8" s="145"/>
      <c r="P8" s="145"/>
      <c r="Q8" s="145"/>
      <c r="R8" s="145"/>
      <c r="S8" s="145"/>
      <c r="T8" s="277"/>
      <c r="U8" s="57"/>
    </row>
    <row r="9" spans="1:32" s="53" customFormat="1" ht="15.75" customHeight="1">
      <c r="A9" s="57"/>
      <c r="B9" s="57"/>
      <c r="C9" s="70"/>
      <c r="D9" s="83" t="s">
        <v>229</v>
      </c>
      <c r="E9" s="109"/>
      <c r="F9" s="128"/>
      <c r="G9" s="128"/>
      <c r="H9" s="128"/>
      <c r="I9" s="70"/>
      <c r="J9" s="70"/>
      <c r="K9" s="70"/>
      <c r="L9" s="70"/>
      <c r="M9" s="70"/>
      <c r="N9" s="70"/>
      <c r="O9" s="70"/>
      <c r="P9" s="70"/>
      <c r="Q9" s="57"/>
      <c r="R9" s="57"/>
      <c r="S9" s="57"/>
      <c r="T9" s="57"/>
      <c r="U9" s="57"/>
    </row>
    <row r="10" spans="1:32" s="53" customFormat="1" ht="15.75" customHeight="1">
      <c r="A10" s="57"/>
      <c r="B10" s="57"/>
      <c r="C10" s="70"/>
      <c r="D10" s="88" t="s">
        <v>195</v>
      </c>
      <c r="E10" s="110"/>
      <c r="F10" s="129">
        <f>G64</f>
        <v>2000000</v>
      </c>
      <c r="G10" s="146" t="s">
        <v>237</v>
      </c>
      <c r="H10" s="164" t="s">
        <v>622</v>
      </c>
      <c r="I10" s="164"/>
      <c r="J10" s="164"/>
      <c r="K10" s="164"/>
      <c r="L10" s="164"/>
      <c r="M10" s="164"/>
      <c r="N10" s="164"/>
      <c r="O10" s="164"/>
      <c r="P10" s="244"/>
      <c r="Q10" s="105"/>
      <c r="R10" s="57"/>
      <c r="S10" s="57"/>
      <c r="T10" s="57"/>
      <c r="U10" s="57"/>
    </row>
    <row r="11" spans="1:32" s="53" customFormat="1" ht="15.75" customHeight="1">
      <c r="A11" s="57"/>
      <c r="B11" s="57"/>
      <c r="C11" s="71"/>
      <c r="D11" s="89" t="s">
        <v>224</v>
      </c>
      <c r="E11" s="105"/>
      <c r="F11" s="123"/>
      <c r="G11" s="123"/>
      <c r="H11" s="123"/>
      <c r="I11" s="83" t="s">
        <v>274</v>
      </c>
      <c r="J11" s="83"/>
      <c r="K11" s="83"/>
      <c r="L11" s="83"/>
      <c r="M11" s="83"/>
      <c r="N11" s="83"/>
      <c r="O11" s="83"/>
      <c r="P11" s="83"/>
      <c r="Q11" s="105"/>
      <c r="R11" s="57"/>
      <c r="S11" s="57"/>
      <c r="T11" s="57"/>
      <c r="U11" s="57"/>
    </row>
    <row r="12" spans="1:32" s="53" customFormat="1" ht="15.75" customHeight="1">
      <c r="A12" s="57"/>
      <c r="B12" s="57"/>
      <c r="C12" s="57"/>
      <c r="D12" s="90" t="str">
        <f>'2.支出明細'!F103</f>
        <v>　必要経費</v>
      </c>
      <c r="E12" s="111"/>
      <c r="F12" s="130">
        <f>IF('2.支出明細'!H103="　",0,'2.支出明細'!H103)</f>
        <v>869086</v>
      </c>
      <c r="G12" s="147" t="str">
        <f>'2.支出明細'!I103</f>
        <v>円（A～M合計）</v>
      </c>
      <c r="H12" s="123"/>
      <c r="I12" s="88" t="s">
        <v>239</v>
      </c>
      <c r="J12" s="110"/>
      <c r="K12" s="196"/>
      <c r="L12" s="110"/>
      <c r="M12" s="129">
        <f>F5+F6-F10-M14</f>
        <v>5000000</v>
      </c>
      <c r="N12" s="228" t="s">
        <v>123</v>
      </c>
      <c r="O12" s="110"/>
      <c r="P12" s="110"/>
      <c r="Q12" s="110"/>
      <c r="R12" s="262" t="s">
        <v>186</v>
      </c>
      <c r="S12" s="262"/>
      <c r="T12" s="278"/>
      <c r="U12" s="57"/>
    </row>
    <row r="13" spans="1:32" s="53" customFormat="1" ht="15.75" customHeight="1">
      <c r="A13" s="57"/>
      <c r="B13" s="57"/>
      <c r="C13" s="57"/>
      <c r="D13" s="91" t="str">
        <f>'2.支出明細'!F104</f>
        <v>　経費外支出額</v>
      </c>
      <c r="E13" s="112"/>
      <c r="F13" s="131">
        <f>IF('2.支出明細'!H104="　",0,'2.支出明細'!H104)</f>
        <v>3259350</v>
      </c>
      <c r="G13" s="148" t="str">
        <f>'2.支出明細'!I104</f>
        <v>円</v>
      </c>
      <c r="H13" s="123"/>
      <c r="I13" s="177" t="s">
        <v>412</v>
      </c>
      <c r="J13" s="184"/>
      <c r="K13" s="184"/>
      <c r="L13" s="184"/>
      <c r="M13" s="184"/>
      <c r="N13" s="184"/>
      <c r="O13" s="105"/>
      <c r="P13" s="57"/>
      <c r="Q13" s="57"/>
      <c r="R13" s="57"/>
      <c r="S13" s="57"/>
      <c r="T13" s="57"/>
      <c r="U13" s="57"/>
    </row>
    <row r="14" spans="1:32" s="53" customFormat="1" ht="15.75" customHeight="1">
      <c r="A14" s="57"/>
      <c r="B14" s="57"/>
      <c r="C14" s="57"/>
      <c r="D14" s="87" t="str">
        <f>'2.支出明細'!F102</f>
        <v>総支出額</v>
      </c>
      <c r="E14" s="108"/>
      <c r="F14" s="127">
        <f>'2.支出明細'!H102</f>
        <v>4128436</v>
      </c>
      <c r="G14" s="149" t="str">
        <f>'2.支出明細'!I102</f>
        <v>円</v>
      </c>
      <c r="H14" s="123"/>
      <c r="I14" s="178" t="s">
        <v>239</v>
      </c>
      <c r="J14" s="178"/>
      <c r="K14" s="178"/>
      <c r="L14" s="178"/>
      <c r="M14" s="217">
        <v>0</v>
      </c>
      <c r="N14" s="229" t="s">
        <v>94</v>
      </c>
      <c r="O14" s="110"/>
      <c r="P14" s="70"/>
      <c r="Q14" s="70"/>
      <c r="R14" s="263"/>
      <c r="S14" s="263"/>
      <c r="T14" s="263"/>
      <c r="U14" s="57"/>
    </row>
    <row r="15" spans="1:32" s="53" customFormat="1" ht="15.75" customHeight="1">
      <c r="A15" s="57"/>
      <c r="B15" s="60" t="s">
        <v>255</v>
      </c>
      <c r="C15" s="72"/>
      <c r="D15" s="92"/>
      <c r="E15" s="92"/>
      <c r="F15" s="132"/>
      <c r="G15" s="150"/>
      <c r="H15" s="165"/>
      <c r="I15" s="72"/>
      <c r="J15" s="72"/>
      <c r="K15" s="72"/>
      <c r="L15" s="72"/>
      <c r="M15" s="72"/>
      <c r="N15" s="72"/>
      <c r="O15" s="72"/>
      <c r="P15" s="72"/>
      <c r="Q15" s="57"/>
      <c r="R15" s="57"/>
      <c r="S15" s="57"/>
      <c r="T15" s="57"/>
      <c r="U15" s="57"/>
    </row>
    <row r="16" spans="1:32" ht="40.5" customHeight="1">
      <c r="A16" s="56"/>
      <c r="B16" s="61" t="s">
        <v>264</v>
      </c>
      <c r="C16" s="73"/>
      <c r="D16" s="93" t="s">
        <v>261</v>
      </c>
      <c r="E16" s="113"/>
      <c r="F16" s="133" t="s">
        <v>154</v>
      </c>
      <c r="G16" s="151"/>
      <c r="H16" s="166"/>
      <c r="I16" s="133" t="s">
        <v>209</v>
      </c>
      <c r="J16" s="151"/>
      <c r="K16" s="166"/>
      <c r="L16" s="208"/>
      <c r="M16" s="218" t="s">
        <v>269</v>
      </c>
      <c r="N16" s="230"/>
      <c r="O16" s="230"/>
      <c r="P16" s="230"/>
      <c r="Q16" s="230"/>
      <c r="R16" s="230"/>
      <c r="S16" s="267"/>
      <c r="T16" s="279" t="s">
        <v>276</v>
      </c>
      <c r="U16" s="56"/>
    </row>
    <row r="17" spans="1:21" s="54" customFormat="1" ht="18.75" customHeight="1">
      <c r="A17" s="58"/>
      <c r="B17" s="62" t="s">
        <v>228</v>
      </c>
      <c r="C17" s="74" t="s">
        <v>227</v>
      </c>
      <c r="D17" s="94" t="s">
        <v>259</v>
      </c>
      <c r="E17" s="114"/>
      <c r="F17" s="134" t="s">
        <v>251</v>
      </c>
      <c r="G17" s="152" t="s">
        <v>199</v>
      </c>
      <c r="H17" s="167"/>
      <c r="I17" s="179" t="s">
        <v>172</v>
      </c>
      <c r="J17" s="185"/>
      <c r="K17" s="197"/>
      <c r="L17" s="186" t="s">
        <v>198</v>
      </c>
      <c r="M17" s="63" t="s">
        <v>247</v>
      </c>
      <c r="N17" s="231" t="s">
        <v>197</v>
      </c>
      <c r="O17" s="186"/>
      <c r="P17" s="63" t="s">
        <v>232</v>
      </c>
      <c r="Q17" s="186"/>
      <c r="R17" s="186"/>
      <c r="S17" s="115"/>
      <c r="T17" s="280"/>
      <c r="U17" s="58"/>
    </row>
    <row r="18" spans="1:21" s="54" customFormat="1" ht="45" customHeight="1">
      <c r="A18" s="58"/>
      <c r="B18" s="63"/>
      <c r="C18" s="75"/>
      <c r="D18" s="95"/>
      <c r="E18" s="115"/>
      <c r="F18" s="134"/>
      <c r="G18" s="153" t="s">
        <v>171</v>
      </c>
      <c r="H18" s="168" t="s">
        <v>277</v>
      </c>
      <c r="I18" s="180" t="s">
        <v>179</v>
      </c>
      <c r="J18" s="186"/>
      <c r="K18" s="198" t="s">
        <v>181</v>
      </c>
      <c r="L18" s="186"/>
      <c r="M18" s="63"/>
      <c r="N18" s="231"/>
      <c r="O18" s="186"/>
      <c r="P18" s="245" t="s">
        <v>403</v>
      </c>
      <c r="Q18" s="252"/>
      <c r="R18" s="252" t="s">
        <v>187</v>
      </c>
      <c r="S18" s="268" t="s">
        <v>191</v>
      </c>
      <c r="T18" s="281"/>
      <c r="U18" s="58"/>
    </row>
    <row r="19" spans="1:21" ht="19.5" customHeight="1">
      <c r="A19" s="56"/>
      <c r="B19" s="64" t="s">
        <v>860</v>
      </c>
      <c r="C19" s="76">
        <v>1</v>
      </c>
      <c r="D19" s="96" t="s">
        <v>861</v>
      </c>
      <c r="E19" s="116"/>
      <c r="F19" s="135">
        <v>10000</v>
      </c>
      <c r="G19" s="154">
        <v>200000</v>
      </c>
      <c r="H19" s="169">
        <v>46000</v>
      </c>
      <c r="I19" s="64">
        <v>1</v>
      </c>
      <c r="J19" s="187" t="s">
        <v>174</v>
      </c>
      <c r="K19" s="199">
        <v>10</v>
      </c>
      <c r="L19" s="209">
        <f t="shared" ref="L19:L63" si="0">IF(ISBLANK(K19),0,ROUND($M$12*I19/K19,0))</f>
        <v>500000</v>
      </c>
      <c r="M19" s="219">
        <f t="shared" ref="M19:M24" si="1">L19+L65</f>
        <v>500000</v>
      </c>
      <c r="N19" s="232">
        <f t="shared" ref="N19:N63" si="2">G19+H19+M19</f>
        <v>746000</v>
      </c>
      <c r="O19" s="238">
        <f>IF('2.支出明細'!$H$102=0,0,IF(ISBLANK(K19),0,ROUND($F$12*I19/K19,0)))</f>
        <v>86909</v>
      </c>
      <c r="P19" s="246">
        <f>O19+O65</f>
        <v>86905</v>
      </c>
      <c r="Q19" s="253">
        <f t="shared" ref="Q19:Q63" si="3">IF(ISBLANK(K19),0,ROUND($F$13*I19/K19,0))</f>
        <v>325935</v>
      </c>
      <c r="R19" s="253">
        <f t="shared" ref="R19:R63" si="4">Q19+Q65</f>
        <v>325935</v>
      </c>
      <c r="S19" s="269">
        <f t="shared" ref="S19:S64" si="5">P19+R19</f>
        <v>412840</v>
      </c>
      <c r="T19" s="282"/>
      <c r="U19" s="56"/>
    </row>
    <row r="20" spans="1:21" ht="19.5" customHeight="1">
      <c r="A20" s="56"/>
      <c r="B20" s="65" t="s">
        <v>464</v>
      </c>
      <c r="C20" s="77">
        <v>2</v>
      </c>
      <c r="D20" s="97" t="s">
        <v>516</v>
      </c>
      <c r="E20" s="117"/>
      <c r="F20" s="136">
        <v>10000</v>
      </c>
      <c r="G20" s="155">
        <v>200000</v>
      </c>
      <c r="H20" s="170">
        <v>46000</v>
      </c>
      <c r="I20" s="65">
        <v>1</v>
      </c>
      <c r="J20" s="188" t="s">
        <v>174</v>
      </c>
      <c r="K20" s="200">
        <v>10</v>
      </c>
      <c r="L20" s="210">
        <f t="shared" si="0"/>
        <v>500000</v>
      </c>
      <c r="M20" s="220">
        <f t="shared" si="1"/>
        <v>500000</v>
      </c>
      <c r="N20" s="233">
        <f t="shared" si="2"/>
        <v>746000</v>
      </c>
      <c r="O20" s="238">
        <f>IF('2.支出明細'!$H$102=0,0,IF(ISBLANK(K20),0,ROUND($F$12*I20/K20,0)))</f>
        <v>86909</v>
      </c>
      <c r="P20" s="247">
        <f t="shared" ref="P20:P63" si="6">O20</f>
        <v>86909</v>
      </c>
      <c r="Q20" s="254">
        <f t="shared" si="3"/>
        <v>325935</v>
      </c>
      <c r="R20" s="254">
        <f t="shared" si="4"/>
        <v>325935</v>
      </c>
      <c r="S20" s="270">
        <f t="shared" si="5"/>
        <v>412844</v>
      </c>
      <c r="T20" s="283"/>
      <c r="U20" s="56"/>
    </row>
    <row r="21" spans="1:21" ht="19.5" customHeight="1">
      <c r="A21" s="56"/>
      <c r="B21" s="65" t="s">
        <v>536</v>
      </c>
      <c r="C21" s="77">
        <v>3</v>
      </c>
      <c r="D21" s="97" t="s">
        <v>862</v>
      </c>
      <c r="E21" s="117"/>
      <c r="F21" s="136">
        <v>0</v>
      </c>
      <c r="G21" s="155">
        <v>0</v>
      </c>
      <c r="H21" s="170">
        <v>40000</v>
      </c>
      <c r="I21" s="65"/>
      <c r="J21" s="188" t="s">
        <v>174</v>
      </c>
      <c r="K21" s="200"/>
      <c r="L21" s="210">
        <f t="shared" si="0"/>
        <v>0</v>
      </c>
      <c r="M21" s="220">
        <f t="shared" si="1"/>
        <v>0</v>
      </c>
      <c r="N21" s="233">
        <f t="shared" si="2"/>
        <v>40000</v>
      </c>
      <c r="O21" s="238">
        <f>IF('2.支出明細'!$H$102=0,0,IF(ISBLANK(K21),0,ROUND($F$12*I21/K21,0)))</f>
        <v>0</v>
      </c>
      <c r="P21" s="247">
        <f t="shared" si="6"/>
        <v>0</v>
      </c>
      <c r="Q21" s="254">
        <f t="shared" si="3"/>
        <v>0</v>
      </c>
      <c r="R21" s="254">
        <f t="shared" si="4"/>
        <v>0</v>
      </c>
      <c r="S21" s="270">
        <f t="shared" si="5"/>
        <v>0</v>
      </c>
      <c r="T21" s="283"/>
      <c r="U21" s="56"/>
    </row>
    <row r="22" spans="1:21" ht="19.5" customHeight="1">
      <c r="A22" s="56"/>
      <c r="B22" s="66"/>
      <c r="C22" s="77">
        <v>4</v>
      </c>
      <c r="D22" s="97" t="s">
        <v>603</v>
      </c>
      <c r="E22" s="117"/>
      <c r="F22" s="136">
        <v>10000</v>
      </c>
      <c r="G22" s="155">
        <v>200000</v>
      </c>
      <c r="H22" s="170">
        <v>18000</v>
      </c>
      <c r="I22" s="65">
        <v>1</v>
      </c>
      <c r="J22" s="188" t="s">
        <v>174</v>
      </c>
      <c r="K22" s="200">
        <v>10</v>
      </c>
      <c r="L22" s="210">
        <f t="shared" si="0"/>
        <v>500000</v>
      </c>
      <c r="M22" s="220">
        <f t="shared" si="1"/>
        <v>500000</v>
      </c>
      <c r="N22" s="233">
        <f t="shared" si="2"/>
        <v>718000</v>
      </c>
      <c r="O22" s="238">
        <f>IF('2.支出明細'!$H$102=0,0,IF(ISBLANK(K22),0,ROUND($F$12*I22/K22,0)))</f>
        <v>86909</v>
      </c>
      <c r="P22" s="247">
        <f t="shared" si="6"/>
        <v>86909</v>
      </c>
      <c r="Q22" s="254">
        <f t="shared" si="3"/>
        <v>325935</v>
      </c>
      <c r="R22" s="254">
        <f t="shared" si="4"/>
        <v>325935</v>
      </c>
      <c r="S22" s="270">
        <f t="shared" si="5"/>
        <v>412844</v>
      </c>
      <c r="T22" s="283"/>
      <c r="U22" s="56"/>
    </row>
    <row r="23" spans="1:21" ht="19.5" customHeight="1">
      <c r="A23" s="56"/>
      <c r="B23" s="66"/>
      <c r="C23" s="77">
        <v>5</v>
      </c>
      <c r="D23" s="98" t="s">
        <v>52</v>
      </c>
      <c r="E23" s="117"/>
      <c r="F23" s="137">
        <v>10000</v>
      </c>
      <c r="G23" s="155">
        <v>200000</v>
      </c>
      <c r="H23" s="170">
        <v>33000</v>
      </c>
      <c r="I23" s="65">
        <v>1</v>
      </c>
      <c r="J23" s="188" t="s">
        <v>174</v>
      </c>
      <c r="K23" s="200">
        <v>10</v>
      </c>
      <c r="L23" s="210">
        <f t="shared" si="0"/>
        <v>500000</v>
      </c>
      <c r="M23" s="220">
        <f t="shared" si="1"/>
        <v>500000</v>
      </c>
      <c r="N23" s="233">
        <f t="shared" si="2"/>
        <v>733000</v>
      </c>
      <c r="O23" s="238">
        <f>IF('2.支出明細'!$H$102=0,0,IF(ISBLANK(K23),0,ROUND($F$12*I23/K23,0)))</f>
        <v>86909</v>
      </c>
      <c r="P23" s="247">
        <f t="shared" si="6"/>
        <v>86909</v>
      </c>
      <c r="Q23" s="254">
        <f t="shared" si="3"/>
        <v>325935</v>
      </c>
      <c r="R23" s="254">
        <f t="shared" si="4"/>
        <v>325935</v>
      </c>
      <c r="S23" s="270">
        <f t="shared" si="5"/>
        <v>412844</v>
      </c>
      <c r="T23" s="283"/>
      <c r="U23" s="56"/>
    </row>
    <row r="24" spans="1:21" ht="19.5" customHeight="1">
      <c r="A24" s="56"/>
      <c r="B24" s="66"/>
      <c r="C24" s="77">
        <v>6</v>
      </c>
      <c r="D24" s="98" t="s">
        <v>647</v>
      </c>
      <c r="E24" s="117"/>
      <c r="F24" s="137">
        <v>10000</v>
      </c>
      <c r="G24" s="155">
        <v>200000</v>
      </c>
      <c r="H24" s="170">
        <v>18000</v>
      </c>
      <c r="I24" s="65">
        <v>1</v>
      </c>
      <c r="J24" s="188" t="s">
        <v>174</v>
      </c>
      <c r="K24" s="200">
        <v>10</v>
      </c>
      <c r="L24" s="210">
        <f t="shared" si="0"/>
        <v>500000</v>
      </c>
      <c r="M24" s="220">
        <f t="shared" si="1"/>
        <v>500000</v>
      </c>
      <c r="N24" s="233">
        <f t="shared" si="2"/>
        <v>718000</v>
      </c>
      <c r="O24" s="238">
        <f>IF('2.支出明細'!$H$102=0,0,IF(ISBLANK(K24),0,ROUND($F$12*I24/K24,0)))</f>
        <v>86909</v>
      </c>
      <c r="P24" s="247">
        <f t="shared" si="6"/>
        <v>86909</v>
      </c>
      <c r="Q24" s="254">
        <f t="shared" si="3"/>
        <v>325935</v>
      </c>
      <c r="R24" s="254">
        <f t="shared" si="4"/>
        <v>325935</v>
      </c>
      <c r="S24" s="270">
        <f t="shared" si="5"/>
        <v>412844</v>
      </c>
      <c r="T24" s="283"/>
      <c r="U24" s="56"/>
    </row>
    <row r="25" spans="1:21" ht="19.5" customHeight="1">
      <c r="A25" s="56"/>
      <c r="B25" s="66"/>
      <c r="C25" s="77">
        <v>7</v>
      </c>
      <c r="D25" s="98" t="s">
        <v>105</v>
      </c>
      <c r="E25" s="117"/>
      <c r="F25" s="137">
        <v>10000</v>
      </c>
      <c r="G25" s="155">
        <v>200000</v>
      </c>
      <c r="H25" s="170">
        <v>12000</v>
      </c>
      <c r="I25" s="65">
        <v>1</v>
      </c>
      <c r="J25" s="188" t="s">
        <v>174</v>
      </c>
      <c r="K25" s="200">
        <v>10</v>
      </c>
      <c r="L25" s="210">
        <f t="shared" si="0"/>
        <v>500000</v>
      </c>
      <c r="M25" s="220">
        <f t="shared" ref="M25:M63" si="7">L25</f>
        <v>500000</v>
      </c>
      <c r="N25" s="233">
        <f t="shared" si="2"/>
        <v>712000</v>
      </c>
      <c r="O25" s="238">
        <f>IF('2.支出明細'!$H$102=0,0,IF(ISBLANK(K25),0,ROUND($F$12*I25/K25,0)))</f>
        <v>86909</v>
      </c>
      <c r="P25" s="247">
        <f t="shared" si="6"/>
        <v>86909</v>
      </c>
      <c r="Q25" s="254">
        <f t="shared" si="3"/>
        <v>325935</v>
      </c>
      <c r="R25" s="254">
        <f t="shared" si="4"/>
        <v>325935</v>
      </c>
      <c r="S25" s="270">
        <f t="shared" si="5"/>
        <v>412844</v>
      </c>
      <c r="T25" s="283"/>
      <c r="U25" s="56"/>
    </row>
    <row r="26" spans="1:21" ht="19.5" customHeight="1">
      <c r="A26" s="56"/>
      <c r="B26" s="66"/>
      <c r="C26" s="77">
        <v>8</v>
      </c>
      <c r="D26" s="98" t="s">
        <v>268</v>
      </c>
      <c r="E26" s="117"/>
      <c r="F26" s="137">
        <v>10000</v>
      </c>
      <c r="G26" s="155">
        <v>200000</v>
      </c>
      <c r="H26" s="170">
        <v>18000</v>
      </c>
      <c r="I26" s="65">
        <v>1</v>
      </c>
      <c r="J26" s="188" t="s">
        <v>174</v>
      </c>
      <c r="K26" s="200">
        <v>10</v>
      </c>
      <c r="L26" s="210">
        <f t="shared" si="0"/>
        <v>500000</v>
      </c>
      <c r="M26" s="220">
        <f t="shared" si="7"/>
        <v>500000</v>
      </c>
      <c r="N26" s="233">
        <f t="shared" si="2"/>
        <v>718000</v>
      </c>
      <c r="O26" s="238">
        <f>IF('2.支出明細'!$H$102=0,0,IF(ISBLANK(K26),0,ROUND($F$12*I26/K26,0)))</f>
        <v>86909</v>
      </c>
      <c r="P26" s="247">
        <f t="shared" si="6"/>
        <v>86909</v>
      </c>
      <c r="Q26" s="254">
        <f t="shared" si="3"/>
        <v>325935</v>
      </c>
      <c r="R26" s="254">
        <f t="shared" si="4"/>
        <v>325935</v>
      </c>
      <c r="S26" s="270">
        <f t="shared" si="5"/>
        <v>412844</v>
      </c>
      <c r="T26" s="283"/>
      <c r="U26" s="56"/>
    </row>
    <row r="27" spans="1:21" ht="19.5" customHeight="1">
      <c r="A27" s="56"/>
      <c r="B27" s="66"/>
      <c r="C27" s="77">
        <v>9</v>
      </c>
      <c r="D27" s="98" t="s">
        <v>863</v>
      </c>
      <c r="E27" s="117"/>
      <c r="F27" s="137">
        <v>10000</v>
      </c>
      <c r="G27" s="155">
        <v>200000</v>
      </c>
      <c r="H27" s="170">
        <v>18000</v>
      </c>
      <c r="I27" s="65">
        <v>1</v>
      </c>
      <c r="J27" s="188" t="s">
        <v>174</v>
      </c>
      <c r="K27" s="200">
        <v>10</v>
      </c>
      <c r="L27" s="210">
        <f t="shared" si="0"/>
        <v>500000</v>
      </c>
      <c r="M27" s="220">
        <f t="shared" si="7"/>
        <v>500000</v>
      </c>
      <c r="N27" s="233">
        <f t="shared" si="2"/>
        <v>718000</v>
      </c>
      <c r="O27" s="238">
        <f>IF('2.支出明細'!$H$102=0,0,IF(ISBLANK(K27),0,ROUND($F$12*I27/K27,0)))</f>
        <v>86909</v>
      </c>
      <c r="P27" s="247">
        <f t="shared" si="6"/>
        <v>86909</v>
      </c>
      <c r="Q27" s="254">
        <f t="shared" si="3"/>
        <v>325935</v>
      </c>
      <c r="R27" s="254">
        <f t="shared" si="4"/>
        <v>325935</v>
      </c>
      <c r="S27" s="270">
        <f t="shared" si="5"/>
        <v>412844</v>
      </c>
      <c r="T27" s="283"/>
      <c r="U27" s="56"/>
    </row>
    <row r="28" spans="1:21" ht="19.5" customHeight="1">
      <c r="A28" s="56"/>
      <c r="B28" s="66"/>
      <c r="C28" s="77">
        <v>10</v>
      </c>
      <c r="D28" s="98" t="s">
        <v>864</v>
      </c>
      <c r="E28" s="117"/>
      <c r="F28" s="137">
        <v>10000</v>
      </c>
      <c r="G28" s="155">
        <v>200000</v>
      </c>
      <c r="H28" s="170">
        <v>16000</v>
      </c>
      <c r="I28" s="65">
        <v>1</v>
      </c>
      <c r="J28" s="188" t="s">
        <v>174</v>
      </c>
      <c r="K28" s="200">
        <v>10</v>
      </c>
      <c r="L28" s="210">
        <f t="shared" si="0"/>
        <v>500000</v>
      </c>
      <c r="M28" s="220">
        <f t="shared" si="7"/>
        <v>500000</v>
      </c>
      <c r="N28" s="233">
        <f t="shared" si="2"/>
        <v>716000</v>
      </c>
      <c r="O28" s="238">
        <f>IF('2.支出明細'!$H$102=0,0,IF(ISBLANK(K28),0,ROUND($F$12*I28/K28,0)))</f>
        <v>86909</v>
      </c>
      <c r="P28" s="247">
        <f t="shared" si="6"/>
        <v>86909</v>
      </c>
      <c r="Q28" s="254">
        <f t="shared" si="3"/>
        <v>325935</v>
      </c>
      <c r="R28" s="254">
        <f t="shared" si="4"/>
        <v>325935</v>
      </c>
      <c r="S28" s="270">
        <f t="shared" si="5"/>
        <v>412844</v>
      </c>
      <c r="T28" s="283"/>
      <c r="U28" s="56"/>
    </row>
    <row r="29" spans="1:21" ht="19.5" customHeight="1">
      <c r="A29" s="56"/>
      <c r="B29" s="66"/>
      <c r="C29" s="77">
        <v>11</v>
      </c>
      <c r="D29" s="98" t="s">
        <v>865</v>
      </c>
      <c r="E29" s="117"/>
      <c r="F29" s="137">
        <v>10000</v>
      </c>
      <c r="G29" s="155">
        <v>200000</v>
      </c>
      <c r="H29" s="170">
        <v>15000</v>
      </c>
      <c r="I29" s="65">
        <v>1</v>
      </c>
      <c r="J29" s="188" t="s">
        <v>174</v>
      </c>
      <c r="K29" s="200">
        <v>10</v>
      </c>
      <c r="L29" s="210">
        <f t="shared" si="0"/>
        <v>500000</v>
      </c>
      <c r="M29" s="220">
        <f t="shared" si="7"/>
        <v>500000</v>
      </c>
      <c r="N29" s="233">
        <f t="shared" si="2"/>
        <v>715000</v>
      </c>
      <c r="O29" s="238">
        <f>IF('2.支出明細'!$H$102=0,0,IF(ISBLANK(K29),0,ROUND($F$12*I29/K29,0)))</f>
        <v>86909</v>
      </c>
      <c r="P29" s="247">
        <f t="shared" si="6"/>
        <v>86909</v>
      </c>
      <c r="Q29" s="254">
        <f t="shared" si="3"/>
        <v>325935</v>
      </c>
      <c r="R29" s="254">
        <f t="shared" si="4"/>
        <v>325935</v>
      </c>
      <c r="S29" s="270">
        <f t="shared" si="5"/>
        <v>412844</v>
      </c>
      <c r="T29" s="283"/>
      <c r="U29" s="56"/>
    </row>
    <row r="30" spans="1:21" ht="19.5" customHeight="1">
      <c r="A30" s="56"/>
      <c r="B30" s="66"/>
      <c r="C30" s="77">
        <v>12</v>
      </c>
      <c r="D30" s="99"/>
      <c r="E30" s="117"/>
      <c r="F30" s="138"/>
      <c r="G30" s="156"/>
      <c r="H30" s="171"/>
      <c r="I30" s="66"/>
      <c r="J30" s="188" t="s">
        <v>174</v>
      </c>
      <c r="K30" s="201"/>
      <c r="L30" s="210">
        <f t="shared" si="0"/>
        <v>0</v>
      </c>
      <c r="M30" s="220">
        <f t="shared" si="7"/>
        <v>0</v>
      </c>
      <c r="N30" s="233">
        <f t="shared" si="2"/>
        <v>0</v>
      </c>
      <c r="O30" s="238">
        <f>IF('2.支出明細'!$H$102=0,0,IF(ISBLANK(K30),0,ROUND($F$12*I30/K30,0)))</f>
        <v>0</v>
      </c>
      <c r="P30" s="247">
        <f t="shared" si="6"/>
        <v>0</v>
      </c>
      <c r="Q30" s="254">
        <f t="shared" si="3"/>
        <v>0</v>
      </c>
      <c r="R30" s="254">
        <f t="shared" si="4"/>
        <v>0</v>
      </c>
      <c r="S30" s="270">
        <f t="shared" si="5"/>
        <v>0</v>
      </c>
      <c r="T30" s="283"/>
      <c r="U30" s="56"/>
    </row>
    <row r="31" spans="1:21" ht="19.5" customHeight="1">
      <c r="A31" s="56"/>
      <c r="B31" s="66"/>
      <c r="C31" s="78">
        <v>13</v>
      </c>
      <c r="D31" s="99"/>
      <c r="E31" s="99"/>
      <c r="F31" s="138"/>
      <c r="G31" s="157"/>
      <c r="H31" s="171"/>
      <c r="I31" s="66"/>
      <c r="J31" s="189" t="s">
        <v>174</v>
      </c>
      <c r="K31" s="201"/>
      <c r="L31" s="210">
        <f t="shared" si="0"/>
        <v>0</v>
      </c>
      <c r="M31" s="221">
        <f t="shared" si="7"/>
        <v>0</v>
      </c>
      <c r="N31" s="221">
        <f t="shared" si="2"/>
        <v>0</v>
      </c>
      <c r="O31" s="239">
        <f>IF('2.支出明細'!$H$102=0,0,IF(ISBLANK(K31),0,ROUND($F$12*I31/K31,0)))</f>
        <v>0</v>
      </c>
      <c r="P31" s="248">
        <f t="shared" si="6"/>
        <v>0</v>
      </c>
      <c r="Q31" s="255">
        <f t="shared" si="3"/>
        <v>0</v>
      </c>
      <c r="R31" s="264">
        <f t="shared" si="4"/>
        <v>0</v>
      </c>
      <c r="S31" s="255">
        <f t="shared" si="5"/>
        <v>0</v>
      </c>
      <c r="T31" s="283"/>
      <c r="U31" s="56"/>
    </row>
    <row r="32" spans="1:21" ht="19.5" hidden="1" customHeight="1">
      <c r="A32" s="56"/>
      <c r="B32" s="66"/>
      <c r="C32" s="77">
        <v>14</v>
      </c>
      <c r="D32" s="99"/>
      <c r="E32" s="117"/>
      <c r="F32" s="138"/>
      <c r="G32" s="156"/>
      <c r="H32" s="171"/>
      <c r="I32" s="66"/>
      <c r="J32" s="188" t="s">
        <v>174</v>
      </c>
      <c r="K32" s="201"/>
      <c r="L32" s="210">
        <f t="shared" si="0"/>
        <v>0</v>
      </c>
      <c r="M32" s="220">
        <f t="shared" si="7"/>
        <v>0</v>
      </c>
      <c r="N32" s="233">
        <f t="shared" si="2"/>
        <v>0</v>
      </c>
      <c r="O32" s="238">
        <f>IF('2.支出明細'!$H$102=0,0,IF(ISBLANK(K32),0,ROUND($F$12*I32/K32,0)))</f>
        <v>0</v>
      </c>
      <c r="P32" s="247">
        <f t="shared" si="6"/>
        <v>0</v>
      </c>
      <c r="Q32" s="254">
        <f t="shared" si="3"/>
        <v>0</v>
      </c>
      <c r="R32" s="254">
        <f t="shared" si="4"/>
        <v>0</v>
      </c>
      <c r="S32" s="270">
        <f t="shared" si="5"/>
        <v>0</v>
      </c>
      <c r="T32" s="283"/>
      <c r="U32" s="56"/>
    </row>
    <row r="33" spans="1:21" ht="19.5" hidden="1" customHeight="1">
      <c r="A33" s="56"/>
      <c r="B33" s="66"/>
      <c r="C33" s="77">
        <v>15</v>
      </c>
      <c r="D33" s="99"/>
      <c r="E33" s="117"/>
      <c r="F33" s="138"/>
      <c r="G33" s="156"/>
      <c r="H33" s="171"/>
      <c r="I33" s="66"/>
      <c r="J33" s="188" t="s">
        <v>174</v>
      </c>
      <c r="K33" s="201"/>
      <c r="L33" s="210">
        <f t="shared" si="0"/>
        <v>0</v>
      </c>
      <c r="M33" s="220">
        <f t="shared" si="7"/>
        <v>0</v>
      </c>
      <c r="N33" s="233">
        <f t="shared" si="2"/>
        <v>0</v>
      </c>
      <c r="O33" s="238">
        <f>IF('2.支出明細'!$H$102=0,0,IF(ISBLANK(K33),0,ROUND($F$12*I33/K33,0)))</f>
        <v>0</v>
      </c>
      <c r="P33" s="247">
        <f t="shared" si="6"/>
        <v>0</v>
      </c>
      <c r="Q33" s="254">
        <f t="shared" si="3"/>
        <v>0</v>
      </c>
      <c r="R33" s="254">
        <f t="shared" si="4"/>
        <v>0</v>
      </c>
      <c r="S33" s="270">
        <f t="shared" si="5"/>
        <v>0</v>
      </c>
      <c r="T33" s="283"/>
      <c r="U33" s="56"/>
    </row>
    <row r="34" spans="1:21" ht="19.5" hidden="1" customHeight="1">
      <c r="A34" s="56"/>
      <c r="B34" s="66"/>
      <c r="C34" s="77">
        <v>16</v>
      </c>
      <c r="D34" s="99"/>
      <c r="E34" s="117"/>
      <c r="F34" s="138"/>
      <c r="G34" s="156"/>
      <c r="H34" s="171"/>
      <c r="I34" s="66"/>
      <c r="J34" s="188" t="s">
        <v>174</v>
      </c>
      <c r="K34" s="201"/>
      <c r="L34" s="210">
        <f t="shared" si="0"/>
        <v>0</v>
      </c>
      <c r="M34" s="220">
        <f t="shared" si="7"/>
        <v>0</v>
      </c>
      <c r="N34" s="233">
        <f t="shared" si="2"/>
        <v>0</v>
      </c>
      <c r="O34" s="238">
        <f>IF('2.支出明細'!$H$102=0,0,IF(ISBLANK(K34),0,ROUND($F$12*I34/K34,0)))</f>
        <v>0</v>
      </c>
      <c r="P34" s="247">
        <f t="shared" si="6"/>
        <v>0</v>
      </c>
      <c r="Q34" s="254">
        <f t="shared" si="3"/>
        <v>0</v>
      </c>
      <c r="R34" s="254">
        <f t="shared" si="4"/>
        <v>0</v>
      </c>
      <c r="S34" s="270">
        <f t="shared" si="5"/>
        <v>0</v>
      </c>
      <c r="T34" s="283"/>
      <c r="U34" s="56"/>
    </row>
    <row r="35" spans="1:21" ht="19.5" hidden="1" customHeight="1">
      <c r="A35" s="56"/>
      <c r="B35" s="66"/>
      <c r="C35" s="77">
        <v>17</v>
      </c>
      <c r="D35" s="99"/>
      <c r="E35" s="117"/>
      <c r="F35" s="138"/>
      <c r="G35" s="156"/>
      <c r="H35" s="171"/>
      <c r="I35" s="66"/>
      <c r="J35" s="188" t="s">
        <v>174</v>
      </c>
      <c r="K35" s="201"/>
      <c r="L35" s="210">
        <f t="shared" si="0"/>
        <v>0</v>
      </c>
      <c r="M35" s="220">
        <f t="shared" si="7"/>
        <v>0</v>
      </c>
      <c r="N35" s="233">
        <f t="shared" si="2"/>
        <v>0</v>
      </c>
      <c r="O35" s="238">
        <f>IF('2.支出明細'!$H$102=0,0,IF(ISBLANK(K35),0,ROUND($F$12*I35/K35,0)))</f>
        <v>0</v>
      </c>
      <c r="P35" s="247">
        <f t="shared" si="6"/>
        <v>0</v>
      </c>
      <c r="Q35" s="254">
        <f t="shared" si="3"/>
        <v>0</v>
      </c>
      <c r="R35" s="254">
        <f t="shared" si="4"/>
        <v>0</v>
      </c>
      <c r="S35" s="270">
        <f t="shared" si="5"/>
        <v>0</v>
      </c>
      <c r="T35" s="283"/>
      <c r="U35" s="56"/>
    </row>
    <row r="36" spans="1:21" ht="19.5" hidden="1" customHeight="1">
      <c r="A36" s="56"/>
      <c r="B36" s="66"/>
      <c r="C36" s="77">
        <v>18</v>
      </c>
      <c r="D36" s="99"/>
      <c r="E36" s="117"/>
      <c r="F36" s="138"/>
      <c r="G36" s="156"/>
      <c r="H36" s="171"/>
      <c r="I36" s="66"/>
      <c r="J36" s="188" t="s">
        <v>174</v>
      </c>
      <c r="K36" s="201"/>
      <c r="L36" s="210">
        <f t="shared" si="0"/>
        <v>0</v>
      </c>
      <c r="M36" s="220">
        <f t="shared" si="7"/>
        <v>0</v>
      </c>
      <c r="N36" s="233">
        <f t="shared" si="2"/>
        <v>0</v>
      </c>
      <c r="O36" s="238">
        <f>IF('2.支出明細'!$H$102=0,0,IF(ISBLANK(K36),0,ROUND($F$12*I36/K36,0)))</f>
        <v>0</v>
      </c>
      <c r="P36" s="247">
        <f t="shared" si="6"/>
        <v>0</v>
      </c>
      <c r="Q36" s="254">
        <f t="shared" si="3"/>
        <v>0</v>
      </c>
      <c r="R36" s="254">
        <f t="shared" si="4"/>
        <v>0</v>
      </c>
      <c r="S36" s="270">
        <f t="shared" si="5"/>
        <v>0</v>
      </c>
      <c r="T36" s="283"/>
      <c r="U36" s="56"/>
    </row>
    <row r="37" spans="1:21" ht="19.5" hidden="1" customHeight="1">
      <c r="A37" s="56"/>
      <c r="B37" s="66"/>
      <c r="C37" s="77">
        <v>19</v>
      </c>
      <c r="D37" s="99"/>
      <c r="E37" s="117"/>
      <c r="F37" s="138"/>
      <c r="G37" s="156"/>
      <c r="H37" s="171"/>
      <c r="I37" s="66"/>
      <c r="J37" s="188" t="s">
        <v>174</v>
      </c>
      <c r="K37" s="201"/>
      <c r="L37" s="210">
        <f t="shared" si="0"/>
        <v>0</v>
      </c>
      <c r="M37" s="220">
        <f t="shared" si="7"/>
        <v>0</v>
      </c>
      <c r="N37" s="233">
        <f t="shared" si="2"/>
        <v>0</v>
      </c>
      <c r="O37" s="238">
        <f>IF('2.支出明細'!$H$102=0,0,IF(ISBLANK(K37),0,ROUND($F$12*I37/K37,0)))</f>
        <v>0</v>
      </c>
      <c r="P37" s="247">
        <f t="shared" si="6"/>
        <v>0</v>
      </c>
      <c r="Q37" s="254">
        <f t="shared" si="3"/>
        <v>0</v>
      </c>
      <c r="R37" s="254">
        <f t="shared" si="4"/>
        <v>0</v>
      </c>
      <c r="S37" s="270">
        <f t="shared" si="5"/>
        <v>0</v>
      </c>
      <c r="T37" s="283"/>
      <c r="U37" s="56"/>
    </row>
    <row r="38" spans="1:21" ht="19.5" hidden="1" customHeight="1">
      <c r="A38" s="56"/>
      <c r="B38" s="66"/>
      <c r="C38" s="77">
        <v>20</v>
      </c>
      <c r="D38" s="99"/>
      <c r="E38" s="117"/>
      <c r="F38" s="138"/>
      <c r="G38" s="156"/>
      <c r="H38" s="171"/>
      <c r="I38" s="66"/>
      <c r="J38" s="188" t="s">
        <v>174</v>
      </c>
      <c r="K38" s="201"/>
      <c r="L38" s="210">
        <f t="shared" si="0"/>
        <v>0</v>
      </c>
      <c r="M38" s="220">
        <f t="shared" si="7"/>
        <v>0</v>
      </c>
      <c r="N38" s="233">
        <f t="shared" si="2"/>
        <v>0</v>
      </c>
      <c r="O38" s="238">
        <f>IF('2.支出明細'!$H$102=0,0,IF(ISBLANK(K38),0,ROUND($F$12*I38/K38,0)))</f>
        <v>0</v>
      </c>
      <c r="P38" s="247">
        <f t="shared" si="6"/>
        <v>0</v>
      </c>
      <c r="Q38" s="254">
        <f t="shared" si="3"/>
        <v>0</v>
      </c>
      <c r="R38" s="254">
        <f t="shared" si="4"/>
        <v>0</v>
      </c>
      <c r="S38" s="270">
        <f t="shared" si="5"/>
        <v>0</v>
      </c>
      <c r="T38" s="283"/>
      <c r="U38" s="56"/>
    </row>
    <row r="39" spans="1:21" ht="19.5" hidden="1" customHeight="1">
      <c r="A39" s="56"/>
      <c r="B39" s="66"/>
      <c r="C39" s="77">
        <v>21</v>
      </c>
      <c r="D39" s="99"/>
      <c r="E39" s="117"/>
      <c r="F39" s="138"/>
      <c r="G39" s="156"/>
      <c r="H39" s="171"/>
      <c r="I39" s="66"/>
      <c r="J39" s="188" t="s">
        <v>174</v>
      </c>
      <c r="K39" s="201"/>
      <c r="L39" s="210">
        <f t="shared" si="0"/>
        <v>0</v>
      </c>
      <c r="M39" s="220">
        <f t="shared" si="7"/>
        <v>0</v>
      </c>
      <c r="N39" s="233">
        <f t="shared" si="2"/>
        <v>0</v>
      </c>
      <c r="O39" s="238">
        <f>IF('2.支出明細'!$H$102=0,0,IF(ISBLANK(K39),0,ROUND($F$12*I39/K39,0)))</f>
        <v>0</v>
      </c>
      <c r="P39" s="247">
        <f t="shared" si="6"/>
        <v>0</v>
      </c>
      <c r="Q39" s="254">
        <f t="shared" si="3"/>
        <v>0</v>
      </c>
      <c r="R39" s="254">
        <f t="shared" si="4"/>
        <v>0</v>
      </c>
      <c r="S39" s="270">
        <f t="shared" si="5"/>
        <v>0</v>
      </c>
      <c r="T39" s="283"/>
      <c r="U39" s="56"/>
    </row>
    <row r="40" spans="1:21" ht="19.5" hidden="1" customHeight="1">
      <c r="A40" s="56"/>
      <c r="B40" s="66"/>
      <c r="C40" s="77">
        <v>22</v>
      </c>
      <c r="D40" s="99"/>
      <c r="E40" s="117"/>
      <c r="F40" s="138"/>
      <c r="G40" s="156"/>
      <c r="H40" s="171"/>
      <c r="I40" s="66"/>
      <c r="J40" s="188" t="s">
        <v>174</v>
      </c>
      <c r="K40" s="201"/>
      <c r="L40" s="210">
        <f t="shared" si="0"/>
        <v>0</v>
      </c>
      <c r="M40" s="220">
        <f t="shared" si="7"/>
        <v>0</v>
      </c>
      <c r="N40" s="233">
        <f t="shared" si="2"/>
        <v>0</v>
      </c>
      <c r="O40" s="238">
        <f>IF('2.支出明細'!$H$102=0,0,IF(ISBLANK(K40),0,ROUND($F$12*I40/K40,0)))</f>
        <v>0</v>
      </c>
      <c r="P40" s="247">
        <f t="shared" si="6"/>
        <v>0</v>
      </c>
      <c r="Q40" s="254">
        <f t="shared" si="3"/>
        <v>0</v>
      </c>
      <c r="R40" s="254">
        <f t="shared" si="4"/>
        <v>0</v>
      </c>
      <c r="S40" s="270">
        <f t="shared" si="5"/>
        <v>0</v>
      </c>
      <c r="T40" s="283"/>
      <c r="U40" s="56"/>
    </row>
    <row r="41" spans="1:21" ht="19.5" hidden="1" customHeight="1">
      <c r="A41" s="56"/>
      <c r="B41" s="66"/>
      <c r="C41" s="77">
        <v>23</v>
      </c>
      <c r="D41" s="99"/>
      <c r="E41" s="117"/>
      <c r="F41" s="138"/>
      <c r="G41" s="156"/>
      <c r="H41" s="171"/>
      <c r="I41" s="66"/>
      <c r="J41" s="188" t="s">
        <v>174</v>
      </c>
      <c r="K41" s="201"/>
      <c r="L41" s="210">
        <f t="shared" si="0"/>
        <v>0</v>
      </c>
      <c r="M41" s="220">
        <f t="shared" si="7"/>
        <v>0</v>
      </c>
      <c r="N41" s="233">
        <f t="shared" si="2"/>
        <v>0</v>
      </c>
      <c r="O41" s="238">
        <f>IF('2.支出明細'!$H$102=0,0,IF(ISBLANK(K41),0,ROUND($F$12*I41/K41,0)))</f>
        <v>0</v>
      </c>
      <c r="P41" s="247">
        <f t="shared" si="6"/>
        <v>0</v>
      </c>
      <c r="Q41" s="254">
        <f t="shared" si="3"/>
        <v>0</v>
      </c>
      <c r="R41" s="254">
        <f t="shared" si="4"/>
        <v>0</v>
      </c>
      <c r="S41" s="270">
        <f t="shared" si="5"/>
        <v>0</v>
      </c>
      <c r="T41" s="283"/>
      <c r="U41" s="56"/>
    </row>
    <row r="42" spans="1:21" ht="19.5" hidden="1" customHeight="1">
      <c r="A42" s="56"/>
      <c r="B42" s="66"/>
      <c r="C42" s="77">
        <v>24</v>
      </c>
      <c r="D42" s="99"/>
      <c r="E42" s="117"/>
      <c r="F42" s="138"/>
      <c r="G42" s="156"/>
      <c r="H42" s="171"/>
      <c r="I42" s="66"/>
      <c r="J42" s="188" t="s">
        <v>174</v>
      </c>
      <c r="K42" s="201"/>
      <c r="L42" s="210">
        <f t="shared" si="0"/>
        <v>0</v>
      </c>
      <c r="M42" s="220">
        <f t="shared" si="7"/>
        <v>0</v>
      </c>
      <c r="N42" s="233">
        <f t="shared" si="2"/>
        <v>0</v>
      </c>
      <c r="O42" s="238">
        <f>IF('2.支出明細'!$H$102=0,0,IF(ISBLANK(K42),0,ROUND($F$12*I42/K42,0)))</f>
        <v>0</v>
      </c>
      <c r="P42" s="247">
        <f t="shared" si="6"/>
        <v>0</v>
      </c>
      <c r="Q42" s="254">
        <f t="shared" si="3"/>
        <v>0</v>
      </c>
      <c r="R42" s="254">
        <f t="shared" si="4"/>
        <v>0</v>
      </c>
      <c r="S42" s="270">
        <f t="shared" si="5"/>
        <v>0</v>
      </c>
      <c r="T42" s="283"/>
      <c r="U42" s="56"/>
    </row>
    <row r="43" spans="1:21" ht="19.5" hidden="1" customHeight="1">
      <c r="A43" s="56"/>
      <c r="B43" s="66"/>
      <c r="C43" s="77">
        <v>25</v>
      </c>
      <c r="D43" s="99"/>
      <c r="E43" s="117"/>
      <c r="F43" s="138"/>
      <c r="G43" s="156"/>
      <c r="H43" s="171"/>
      <c r="I43" s="66"/>
      <c r="J43" s="188" t="s">
        <v>174</v>
      </c>
      <c r="K43" s="201"/>
      <c r="L43" s="210">
        <f t="shared" si="0"/>
        <v>0</v>
      </c>
      <c r="M43" s="220">
        <f t="shared" si="7"/>
        <v>0</v>
      </c>
      <c r="N43" s="233">
        <f t="shared" si="2"/>
        <v>0</v>
      </c>
      <c r="O43" s="238">
        <f>IF('2.支出明細'!$H$102=0,0,IF(ISBLANK(K43),0,ROUND($F$12*I43/K43,0)))</f>
        <v>0</v>
      </c>
      <c r="P43" s="247">
        <f t="shared" si="6"/>
        <v>0</v>
      </c>
      <c r="Q43" s="254">
        <f t="shared" si="3"/>
        <v>0</v>
      </c>
      <c r="R43" s="254">
        <f t="shared" si="4"/>
        <v>0</v>
      </c>
      <c r="S43" s="270">
        <f t="shared" si="5"/>
        <v>0</v>
      </c>
      <c r="T43" s="283"/>
      <c r="U43" s="56"/>
    </row>
    <row r="44" spans="1:21" ht="19.5" hidden="1" customHeight="1">
      <c r="A44" s="56"/>
      <c r="B44" s="66"/>
      <c r="C44" s="77">
        <v>26</v>
      </c>
      <c r="D44" s="99"/>
      <c r="E44" s="117"/>
      <c r="F44" s="138"/>
      <c r="G44" s="156"/>
      <c r="H44" s="171"/>
      <c r="I44" s="66"/>
      <c r="J44" s="188" t="s">
        <v>174</v>
      </c>
      <c r="K44" s="201"/>
      <c r="L44" s="210">
        <f t="shared" si="0"/>
        <v>0</v>
      </c>
      <c r="M44" s="220">
        <f t="shared" si="7"/>
        <v>0</v>
      </c>
      <c r="N44" s="233">
        <f t="shared" si="2"/>
        <v>0</v>
      </c>
      <c r="O44" s="238">
        <f>IF('2.支出明細'!$H$102=0,0,IF(ISBLANK(K44),0,ROUND($F$12*I44/K44,0)))</f>
        <v>0</v>
      </c>
      <c r="P44" s="247">
        <f t="shared" si="6"/>
        <v>0</v>
      </c>
      <c r="Q44" s="254">
        <f t="shared" si="3"/>
        <v>0</v>
      </c>
      <c r="R44" s="254">
        <f t="shared" si="4"/>
        <v>0</v>
      </c>
      <c r="S44" s="270">
        <f t="shared" si="5"/>
        <v>0</v>
      </c>
      <c r="T44" s="283"/>
      <c r="U44" s="56"/>
    </row>
    <row r="45" spans="1:21" ht="19.5" hidden="1" customHeight="1">
      <c r="A45" s="56"/>
      <c r="B45" s="66"/>
      <c r="C45" s="77">
        <v>27</v>
      </c>
      <c r="D45" s="99"/>
      <c r="E45" s="117"/>
      <c r="F45" s="138"/>
      <c r="G45" s="156"/>
      <c r="H45" s="171"/>
      <c r="I45" s="66"/>
      <c r="J45" s="188" t="s">
        <v>174</v>
      </c>
      <c r="K45" s="201"/>
      <c r="L45" s="210">
        <f t="shared" si="0"/>
        <v>0</v>
      </c>
      <c r="M45" s="220">
        <f t="shared" si="7"/>
        <v>0</v>
      </c>
      <c r="N45" s="233">
        <f t="shared" si="2"/>
        <v>0</v>
      </c>
      <c r="O45" s="238">
        <f>IF('2.支出明細'!$H$102=0,0,IF(ISBLANK(K45),0,ROUND($F$12*I45/K45,0)))</f>
        <v>0</v>
      </c>
      <c r="P45" s="247">
        <f t="shared" si="6"/>
        <v>0</v>
      </c>
      <c r="Q45" s="254">
        <f t="shared" si="3"/>
        <v>0</v>
      </c>
      <c r="R45" s="254">
        <f t="shared" si="4"/>
        <v>0</v>
      </c>
      <c r="S45" s="270">
        <f t="shared" si="5"/>
        <v>0</v>
      </c>
      <c r="T45" s="283"/>
      <c r="U45" s="56"/>
    </row>
    <row r="46" spans="1:21" ht="19.5" hidden="1" customHeight="1">
      <c r="A46" s="56"/>
      <c r="B46" s="66"/>
      <c r="C46" s="77">
        <v>28</v>
      </c>
      <c r="D46" s="99"/>
      <c r="E46" s="117"/>
      <c r="F46" s="138"/>
      <c r="G46" s="156"/>
      <c r="H46" s="171"/>
      <c r="I46" s="66"/>
      <c r="J46" s="188" t="s">
        <v>174</v>
      </c>
      <c r="K46" s="201"/>
      <c r="L46" s="210">
        <f t="shared" si="0"/>
        <v>0</v>
      </c>
      <c r="M46" s="220">
        <f t="shared" si="7"/>
        <v>0</v>
      </c>
      <c r="N46" s="233">
        <f t="shared" si="2"/>
        <v>0</v>
      </c>
      <c r="O46" s="238">
        <f>IF('2.支出明細'!$H$102=0,0,IF(ISBLANK(K46),0,ROUND($F$12*I46/K46,0)))</f>
        <v>0</v>
      </c>
      <c r="P46" s="247">
        <f t="shared" si="6"/>
        <v>0</v>
      </c>
      <c r="Q46" s="254">
        <f t="shared" si="3"/>
        <v>0</v>
      </c>
      <c r="R46" s="254">
        <f t="shared" si="4"/>
        <v>0</v>
      </c>
      <c r="S46" s="270">
        <f t="shared" si="5"/>
        <v>0</v>
      </c>
      <c r="T46" s="283"/>
      <c r="U46" s="56"/>
    </row>
    <row r="47" spans="1:21" ht="19.5" hidden="1" customHeight="1">
      <c r="A47" s="56"/>
      <c r="B47" s="66"/>
      <c r="C47" s="77">
        <v>29</v>
      </c>
      <c r="D47" s="99"/>
      <c r="E47" s="117"/>
      <c r="F47" s="138"/>
      <c r="G47" s="156"/>
      <c r="H47" s="171"/>
      <c r="I47" s="66"/>
      <c r="J47" s="188" t="s">
        <v>174</v>
      </c>
      <c r="K47" s="201"/>
      <c r="L47" s="210">
        <f t="shared" si="0"/>
        <v>0</v>
      </c>
      <c r="M47" s="220">
        <f t="shared" si="7"/>
        <v>0</v>
      </c>
      <c r="N47" s="233">
        <f t="shared" si="2"/>
        <v>0</v>
      </c>
      <c r="O47" s="238">
        <f>IF('2.支出明細'!$H$102=0,0,IF(ISBLANK(K47),0,ROUND($F$12*I47/K47,0)))</f>
        <v>0</v>
      </c>
      <c r="P47" s="247">
        <f t="shared" si="6"/>
        <v>0</v>
      </c>
      <c r="Q47" s="254">
        <f t="shared" si="3"/>
        <v>0</v>
      </c>
      <c r="R47" s="254">
        <f t="shared" si="4"/>
        <v>0</v>
      </c>
      <c r="S47" s="270">
        <f t="shared" si="5"/>
        <v>0</v>
      </c>
      <c r="T47" s="283"/>
      <c r="U47" s="56"/>
    </row>
    <row r="48" spans="1:21" ht="19.5" hidden="1" customHeight="1">
      <c r="A48" s="56"/>
      <c r="B48" s="66"/>
      <c r="C48" s="77">
        <v>30</v>
      </c>
      <c r="D48" s="99"/>
      <c r="E48" s="117"/>
      <c r="F48" s="138"/>
      <c r="G48" s="156"/>
      <c r="H48" s="171"/>
      <c r="I48" s="66"/>
      <c r="J48" s="188" t="s">
        <v>174</v>
      </c>
      <c r="K48" s="201"/>
      <c r="L48" s="210">
        <f t="shared" si="0"/>
        <v>0</v>
      </c>
      <c r="M48" s="220">
        <f t="shared" si="7"/>
        <v>0</v>
      </c>
      <c r="N48" s="233">
        <f t="shared" si="2"/>
        <v>0</v>
      </c>
      <c r="O48" s="238">
        <f>IF('2.支出明細'!$H$102=0,0,IF(ISBLANK(K48),0,ROUND($F$12*I48/K48,0)))</f>
        <v>0</v>
      </c>
      <c r="P48" s="247">
        <f t="shared" si="6"/>
        <v>0</v>
      </c>
      <c r="Q48" s="254">
        <f t="shared" si="3"/>
        <v>0</v>
      </c>
      <c r="R48" s="254">
        <f t="shared" si="4"/>
        <v>0</v>
      </c>
      <c r="S48" s="270">
        <f t="shared" si="5"/>
        <v>0</v>
      </c>
      <c r="T48" s="283"/>
      <c r="U48" s="56"/>
    </row>
    <row r="49" spans="1:21" ht="19.5" hidden="1" customHeight="1">
      <c r="A49" s="56"/>
      <c r="B49" s="66"/>
      <c r="C49" s="77">
        <v>31</v>
      </c>
      <c r="D49" s="99"/>
      <c r="E49" s="117"/>
      <c r="F49" s="138"/>
      <c r="G49" s="156"/>
      <c r="H49" s="171"/>
      <c r="I49" s="66"/>
      <c r="J49" s="188" t="s">
        <v>174</v>
      </c>
      <c r="K49" s="201"/>
      <c r="L49" s="210">
        <f t="shared" si="0"/>
        <v>0</v>
      </c>
      <c r="M49" s="220">
        <f t="shared" si="7"/>
        <v>0</v>
      </c>
      <c r="N49" s="233">
        <f t="shared" si="2"/>
        <v>0</v>
      </c>
      <c r="O49" s="238">
        <f>IF('2.支出明細'!$H$102=0,0,IF(ISBLANK(K49),0,ROUND($F$12*I49/K49,0)))</f>
        <v>0</v>
      </c>
      <c r="P49" s="247">
        <f t="shared" si="6"/>
        <v>0</v>
      </c>
      <c r="Q49" s="254">
        <f t="shared" si="3"/>
        <v>0</v>
      </c>
      <c r="R49" s="254">
        <f t="shared" si="4"/>
        <v>0</v>
      </c>
      <c r="S49" s="270">
        <f t="shared" si="5"/>
        <v>0</v>
      </c>
      <c r="T49" s="283"/>
      <c r="U49" s="56"/>
    </row>
    <row r="50" spans="1:21" ht="19.5" hidden="1" customHeight="1">
      <c r="A50" s="56"/>
      <c r="B50" s="66"/>
      <c r="C50" s="77">
        <v>32</v>
      </c>
      <c r="D50" s="99"/>
      <c r="E50" s="117"/>
      <c r="F50" s="138"/>
      <c r="G50" s="156"/>
      <c r="H50" s="171"/>
      <c r="I50" s="66"/>
      <c r="J50" s="188" t="s">
        <v>174</v>
      </c>
      <c r="K50" s="201"/>
      <c r="L50" s="210">
        <f t="shared" si="0"/>
        <v>0</v>
      </c>
      <c r="M50" s="220">
        <f t="shared" si="7"/>
        <v>0</v>
      </c>
      <c r="N50" s="233">
        <f t="shared" si="2"/>
        <v>0</v>
      </c>
      <c r="O50" s="238">
        <f>IF('2.支出明細'!$H$102=0,0,IF(ISBLANK(K50),0,ROUND($F$12*I50/K50,0)))</f>
        <v>0</v>
      </c>
      <c r="P50" s="247">
        <f t="shared" si="6"/>
        <v>0</v>
      </c>
      <c r="Q50" s="254">
        <f t="shared" si="3"/>
        <v>0</v>
      </c>
      <c r="R50" s="254">
        <f t="shared" si="4"/>
        <v>0</v>
      </c>
      <c r="S50" s="270">
        <f t="shared" si="5"/>
        <v>0</v>
      </c>
      <c r="T50" s="283"/>
      <c r="U50" s="56"/>
    </row>
    <row r="51" spans="1:21" ht="19.5" hidden="1" customHeight="1">
      <c r="A51" s="56"/>
      <c r="B51" s="66"/>
      <c r="C51" s="77">
        <v>33</v>
      </c>
      <c r="D51" s="99"/>
      <c r="E51" s="117"/>
      <c r="F51" s="138"/>
      <c r="G51" s="156"/>
      <c r="H51" s="171"/>
      <c r="I51" s="66"/>
      <c r="J51" s="188" t="s">
        <v>174</v>
      </c>
      <c r="K51" s="201"/>
      <c r="L51" s="210">
        <f t="shared" si="0"/>
        <v>0</v>
      </c>
      <c r="M51" s="220">
        <f t="shared" si="7"/>
        <v>0</v>
      </c>
      <c r="N51" s="233">
        <f t="shared" si="2"/>
        <v>0</v>
      </c>
      <c r="O51" s="238">
        <f>IF('2.支出明細'!$H$102=0,0,IF(ISBLANK(K51),0,ROUND($F$12*I51/K51,0)))</f>
        <v>0</v>
      </c>
      <c r="P51" s="247">
        <f t="shared" si="6"/>
        <v>0</v>
      </c>
      <c r="Q51" s="254">
        <f t="shared" si="3"/>
        <v>0</v>
      </c>
      <c r="R51" s="254">
        <f t="shared" si="4"/>
        <v>0</v>
      </c>
      <c r="S51" s="270">
        <f t="shared" si="5"/>
        <v>0</v>
      </c>
      <c r="T51" s="283"/>
      <c r="U51" s="56"/>
    </row>
    <row r="52" spans="1:21" ht="19.5" hidden="1" customHeight="1">
      <c r="A52" s="56"/>
      <c r="B52" s="66"/>
      <c r="C52" s="77">
        <v>34</v>
      </c>
      <c r="D52" s="99"/>
      <c r="E52" s="117"/>
      <c r="F52" s="138"/>
      <c r="G52" s="156"/>
      <c r="H52" s="171"/>
      <c r="I52" s="66"/>
      <c r="J52" s="188" t="s">
        <v>174</v>
      </c>
      <c r="K52" s="201"/>
      <c r="L52" s="210">
        <f t="shared" si="0"/>
        <v>0</v>
      </c>
      <c r="M52" s="220">
        <f t="shared" si="7"/>
        <v>0</v>
      </c>
      <c r="N52" s="233">
        <f t="shared" si="2"/>
        <v>0</v>
      </c>
      <c r="O52" s="238">
        <f>IF('2.支出明細'!$H$102=0,0,IF(ISBLANK(K52),0,ROUND($F$12*I52/K52,0)))</f>
        <v>0</v>
      </c>
      <c r="P52" s="247">
        <f t="shared" si="6"/>
        <v>0</v>
      </c>
      <c r="Q52" s="254">
        <f t="shared" si="3"/>
        <v>0</v>
      </c>
      <c r="R52" s="254">
        <f t="shared" si="4"/>
        <v>0</v>
      </c>
      <c r="S52" s="270">
        <f t="shared" si="5"/>
        <v>0</v>
      </c>
      <c r="T52" s="283"/>
      <c r="U52" s="56"/>
    </row>
    <row r="53" spans="1:21" ht="19.5" hidden="1" customHeight="1">
      <c r="A53" s="56"/>
      <c r="B53" s="66"/>
      <c r="C53" s="77">
        <v>35</v>
      </c>
      <c r="D53" s="99"/>
      <c r="E53" s="117"/>
      <c r="F53" s="138"/>
      <c r="G53" s="156"/>
      <c r="H53" s="171"/>
      <c r="I53" s="66"/>
      <c r="J53" s="188" t="s">
        <v>174</v>
      </c>
      <c r="K53" s="201"/>
      <c r="L53" s="210">
        <f t="shared" si="0"/>
        <v>0</v>
      </c>
      <c r="M53" s="220">
        <f t="shared" si="7"/>
        <v>0</v>
      </c>
      <c r="N53" s="233">
        <f t="shared" si="2"/>
        <v>0</v>
      </c>
      <c r="O53" s="238">
        <f>IF('2.支出明細'!$H$102=0,0,IF(ISBLANK(K53),0,ROUND($F$12*I53/K53,0)))</f>
        <v>0</v>
      </c>
      <c r="P53" s="247">
        <f t="shared" si="6"/>
        <v>0</v>
      </c>
      <c r="Q53" s="254">
        <f t="shared" si="3"/>
        <v>0</v>
      </c>
      <c r="R53" s="254">
        <f t="shared" si="4"/>
        <v>0</v>
      </c>
      <c r="S53" s="270">
        <f t="shared" si="5"/>
        <v>0</v>
      </c>
      <c r="T53" s="283"/>
      <c r="U53" s="56"/>
    </row>
    <row r="54" spans="1:21" ht="19.5" hidden="1" customHeight="1">
      <c r="A54" s="56"/>
      <c r="B54" s="66"/>
      <c r="C54" s="79">
        <v>36</v>
      </c>
      <c r="D54" s="100"/>
      <c r="E54" s="118"/>
      <c r="F54" s="139"/>
      <c r="G54" s="158"/>
      <c r="H54" s="172"/>
      <c r="I54" s="181"/>
      <c r="J54" s="190" t="s">
        <v>174</v>
      </c>
      <c r="K54" s="202"/>
      <c r="L54" s="211">
        <f t="shared" si="0"/>
        <v>0</v>
      </c>
      <c r="M54" s="222">
        <f t="shared" si="7"/>
        <v>0</v>
      </c>
      <c r="N54" s="234">
        <f t="shared" si="2"/>
        <v>0</v>
      </c>
      <c r="O54" s="238">
        <f>IF('2.支出明細'!$H$102=0,0,IF(ISBLANK(K54),0,ROUND($F$12*I54/K54,0)))</f>
        <v>0</v>
      </c>
      <c r="P54" s="249">
        <f t="shared" si="6"/>
        <v>0</v>
      </c>
      <c r="Q54" s="256">
        <f t="shared" si="3"/>
        <v>0</v>
      </c>
      <c r="R54" s="256">
        <f t="shared" si="4"/>
        <v>0</v>
      </c>
      <c r="S54" s="271">
        <f t="shared" si="5"/>
        <v>0</v>
      </c>
      <c r="T54" s="284"/>
      <c r="U54" s="56"/>
    </row>
    <row r="55" spans="1:21" ht="19.5" hidden="1" customHeight="1">
      <c r="A55" s="56"/>
      <c r="B55" s="66"/>
      <c r="C55" s="79">
        <v>37</v>
      </c>
      <c r="D55" s="100"/>
      <c r="E55" s="118"/>
      <c r="F55" s="139"/>
      <c r="G55" s="158"/>
      <c r="H55" s="172"/>
      <c r="I55" s="181"/>
      <c r="J55" s="190" t="s">
        <v>174</v>
      </c>
      <c r="K55" s="202"/>
      <c r="L55" s="211">
        <f t="shared" si="0"/>
        <v>0</v>
      </c>
      <c r="M55" s="222">
        <f t="shared" si="7"/>
        <v>0</v>
      </c>
      <c r="N55" s="234">
        <f t="shared" si="2"/>
        <v>0</v>
      </c>
      <c r="O55" s="238">
        <f>IF('2.支出明細'!$H$102=0,0,IF(ISBLANK(K55),0,ROUND($F$12*I55/K55,0)))</f>
        <v>0</v>
      </c>
      <c r="P55" s="249">
        <f t="shared" si="6"/>
        <v>0</v>
      </c>
      <c r="Q55" s="256">
        <f t="shared" si="3"/>
        <v>0</v>
      </c>
      <c r="R55" s="256">
        <f t="shared" si="4"/>
        <v>0</v>
      </c>
      <c r="S55" s="271">
        <f t="shared" si="5"/>
        <v>0</v>
      </c>
      <c r="T55" s="284"/>
      <c r="U55" s="56"/>
    </row>
    <row r="56" spans="1:21" ht="19.5" hidden="1" customHeight="1">
      <c r="A56" s="56"/>
      <c r="B56" s="66"/>
      <c r="C56" s="79">
        <v>38</v>
      </c>
      <c r="D56" s="100"/>
      <c r="E56" s="118"/>
      <c r="F56" s="139"/>
      <c r="G56" s="158"/>
      <c r="H56" s="172"/>
      <c r="I56" s="181"/>
      <c r="J56" s="190" t="s">
        <v>174</v>
      </c>
      <c r="K56" s="202"/>
      <c r="L56" s="211">
        <f t="shared" si="0"/>
        <v>0</v>
      </c>
      <c r="M56" s="222">
        <f t="shared" si="7"/>
        <v>0</v>
      </c>
      <c r="N56" s="234">
        <f t="shared" si="2"/>
        <v>0</v>
      </c>
      <c r="O56" s="238">
        <f>IF('2.支出明細'!$H$102=0,0,IF(ISBLANK(K56),0,ROUND($F$12*I56/K56,0)))</f>
        <v>0</v>
      </c>
      <c r="P56" s="249">
        <f t="shared" si="6"/>
        <v>0</v>
      </c>
      <c r="Q56" s="256">
        <f t="shared" si="3"/>
        <v>0</v>
      </c>
      <c r="R56" s="256">
        <f t="shared" si="4"/>
        <v>0</v>
      </c>
      <c r="S56" s="271">
        <f t="shared" si="5"/>
        <v>0</v>
      </c>
      <c r="T56" s="284"/>
      <c r="U56" s="56"/>
    </row>
    <row r="57" spans="1:21" ht="19.5" hidden="1" customHeight="1">
      <c r="A57" s="56"/>
      <c r="B57" s="66"/>
      <c r="C57" s="79">
        <v>39</v>
      </c>
      <c r="D57" s="100"/>
      <c r="E57" s="118"/>
      <c r="F57" s="139"/>
      <c r="G57" s="158"/>
      <c r="H57" s="172"/>
      <c r="I57" s="181"/>
      <c r="J57" s="190" t="s">
        <v>174</v>
      </c>
      <c r="K57" s="202"/>
      <c r="L57" s="211">
        <f t="shared" si="0"/>
        <v>0</v>
      </c>
      <c r="M57" s="222">
        <f t="shared" si="7"/>
        <v>0</v>
      </c>
      <c r="N57" s="234">
        <f t="shared" si="2"/>
        <v>0</v>
      </c>
      <c r="O57" s="238">
        <f>IF('2.支出明細'!$H$102=0,0,IF(ISBLANK(K57),0,ROUND($F$12*I57/K57,0)))</f>
        <v>0</v>
      </c>
      <c r="P57" s="249">
        <f t="shared" si="6"/>
        <v>0</v>
      </c>
      <c r="Q57" s="256">
        <f t="shared" si="3"/>
        <v>0</v>
      </c>
      <c r="R57" s="256">
        <f t="shared" si="4"/>
        <v>0</v>
      </c>
      <c r="S57" s="271">
        <f t="shared" si="5"/>
        <v>0</v>
      </c>
      <c r="T57" s="284"/>
      <c r="U57" s="56"/>
    </row>
    <row r="58" spans="1:21" ht="19.5" hidden="1" customHeight="1">
      <c r="A58" s="56"/>
      <c r="B58" s="66"/>
      <c r="C58" s="79">
        <v>40</v>
      </c>
      <c r="D58" s="100"/>
      <c r="E58" s="118"/>
      <c r="F58" s="139"/>
      <c r="G58" s="158"/>
      <c r="H58" s="172"/>
      <c r="I58" s="181"/>
      <c r="J58" s="190" t="s">
        <v>174</v>
      </c>
      <c r="K58" s="202"/>
      <c r="L58" s="211">
        <f t="shared" si="0"/>
        <v>0</v>
      </c>
      <c r="M58" s="222">
        <f t="shared" si="7"/>
        <v>0</v>
      </c>
      <c r="N58" s="234">
        <f t="shared" si="2"/>
        <v>0</v>
      </c>
      <c r="O58" s="238">
        <f>IF('2.支出明細'!$H$102=0,0,IF(ISBLANK(K58),0,ROUND($F$12*I58/K58,0)))</f>
        <v>0</v>
      </c>
      <c r="P58" s="249">
        <f t="shared" si="6"/>
        <v>0</v>
      </c>
      <c r="Q58" s="256">
        <f t="shared" si="3"/>
        <v>0</v>
      </c>
      <c r="R58" s="256">
        <f t="shared" si="4"/>
        <v>0</v>
      </c>
      <c r="S58" s="271">
        <f t="shared" si="5"/>
        <v>0</v>
      </c>
      <c r="T58" s="284"/>
      <c r="U58" s="56"/>
    </row>
    <row r="59" spans="1:21" ht="19.5" hidden="1" customHeight="1">
      <c r="A59" s="56"/>
      <c r="B59" s="66"/>
      <c r="C59" s="79">
        <v>41</v>
      </c>
      <c r="D59" s="100"/>
      <c r="E59" s="118"/>
      <c r="F59" s="139"/>
      <c r="G59" s="158"/>
      <c r="H59" s="172"/>
      <c r="I59" s="181"/>
      <c r="J59" s="190" t="s">
        <v>174</v>
      </c>
      <c r="K59" s="202"/>
      <c r="L59" s="211">
        <f t="shared" si="0"/>
        <v>0</v>
      </c>
      <c r="M59" s="222">
        <f t="shared" si="7"/>
        <v>0</v>
      </c>
      <c r="N59" s="234">
        <f t="shared" si="2"/>
        <v>0</v>
      </c>
      <c r="O59" s="238">
        <f>IF('2.支出明細'!$H$102=0,0,IF(ISBLANK(K59),0,ROUND($F$12*I59/K59,0)))</f>
        <v>0</v>
      </c>
      <c r="P59" s="249">
        <f t="shared" si="6"/>
        <v>0</v>
      </c>
      <c r="Q59" s="256">
        <f t="shared" si="3"/>
        <v>0</v>
      </c>
      <c r="R59" s="256">
        <f t="shared" si="4"/>
        <v>0</v>
      </c>
      <c r="S59" s="271">
        <f t="shared" si="5"/>
        <v>0</v>
      </c>
      <c r="T59" s="284"/>
      <c r="U59" s="56"/>
    </row>
    <row r="60" spans="1:21" ht="19.5" hidden="1" customHeight="1">
      <c r="A60" s="56"/>
      <c r="B60" s="66"/>
      <c r="C60" s="79">
        <v>42</v>
      </c>
      <c r="D60" s="100"/>
      <c r="E60" s="118"/>
      <c r="F60" s="139"/>
      <c r="G60" s="158"/>
      <c r="H60" s="172"/>
      <c r="I60" s="181"/>
      <c r="J60" s="190" t="s">
        <v>174</v>
      </c>
      <c r="K60" s="202"/>
      <c r="L60" s="211">
        <f t="shared" si="0"/>
        <v>0</v>
      </c>
      <c r="M60" s="222">
        <f t="shared" si="7"/>
        <v>0</v>
      </c>
      <c r="N60" s="234">
        <f t="shared" si="2"/>
        <v>0</v>
      </c>
      <c r="O60" s="238">
        <f>IF('2.支出明細'!$H$102=0,0,IF(ISBLANK(K60),0,ROUND($F$12*I60/K60,0)))</f>
        <v>0</v>
      </c>
      <c r="P60" s="249">
        <f t="shared" si="6"/>
        <v>0</v>
      </c>
      <c r="Q60" s="256">
        <f t="shared" si="3"/>
        <v>0</v>
      </c>
      <c r="R60" s="256">
        <f t="shared" si="4"/>
        <v>0</v>
      </c>
      <c r="S60" s="271">
        <f t="shared" si="5"/>
        <v>0</v>
      </c>
      <c r="T60" s="284"/>
      <c r="U60" s="56"/>
    </row>
    <row r="61" spans="1:21" ht="19.5" hidden="1" customHeight="1">
      <c r="A61" s="56"/>
      <c r="B61" s="66"/>
      <c r="C61" s="79">
        <v>43</v>
      </c>
      <c r="D61" s="100"/>
      <c r="E61" s="118"/>
      <c r="F61" s="139"/>
      <c r="G61" s="158"/>
      <c r="H61" s="172"/>
      <c r="I61" s="181"/>
      <c r="J61" s="190" t="s">
        <v>174</v>
      </c>
      <c r="K61" s="202"/>
      <c r="L61" s="211">
        <f t="shared" si="0"/>
        <v>0</v>
      </c>
      <c r="M61" s="222">
        <f t="shared" si="7"/>
        <v>0</v>
      </c>
      <c r="N61" s="234">
        <f t="shared" si="2"/>
        <v>0</v>
      </c>
      <c r="O61" s="238">
        <f>IF('2.支出明細'!$H$102=0,0,IF(ISBLANK(K61),0,ROUND($F$12*I61/K61,0)))</f>
        <v>0</v>
      </c>
      <c r="P61" s="249">
        <f t="shared" si="6"/>
        <v>0</v>
      </c>
      <c r="Q61" s="256">
        <f t="shared" si="3"/>
        <v>0</v>
      </c>
      <c r="R61" s="256">
        <f t="shared" si="4"/>
        <v>0</v>
      </c>
      <c r="S61" s="271">
        <f t="shared" si="5"/>
        <v>0</v>
      </c>
      <c r="T61" s="284"/>
      <c r="U61" s="56"/>
    </row>
    <row r="62" spans="1:21" ht="19.5" hidden="1" customHeight="1">
      <c r="A62" s="56"/>
      <c r="B62" s="66"/>
      <c r="C62" s="79">
        <v>44</v>
      </c>
      <c r="D62" s="100"/>
      <c r="E62" s="118"/>
      <c r="F62" s="139"/>
      <c r="G62" s="158"/>
      <c r="H62" s="172"/>
      <c r="I62" s="181"/>
      <c r="J62" s="190" t="s">
        <v>174</v>
      </c>
      <c r="K62" s="202"/>
      <c r="L62" s="211">
        <f t="shared" si="0"/>
        <v>0</v>
      </c>
      <c r="M62" s="222">
        <f t="shared" si="7"/>
        <v>0</v>
      </c>
      <c r="N62" s="234">
        <f t="shared" si="2"/>
        <v>0</v>
      </c>
      <c r="O62" s="238">
        <f>IF('2.支出明細'!$H$102=0,0,IF(ISBLANK(K62),0,ROUND($F$12*I62/K62,0)))</f>
        <v>0</v>
      </c>
      <c r="P62" s="249">
        <f t="shared" si="6"/>
        <v>0</v>
      </c>
      <c r="Q62" s="256">
        <f t="shared" si="3"/>
        <v>0</v>
      </c>
      <c r="R62" s="256">
        <f t="shared" si="4"/>
        <v>0</v>
      </c>
      <c r="S62" s="271">
        <f t="shared" si="5"/>
        <v>0</v>
      </c>
      <c r="T62" s="284"/>
      <c r="U62" s="56"/>
    </row>
    <row r="63" spans="1:21" ht="19.5" customHeight="1">
      <c r="A63" s="56"/>
      <c r="B63" s="67"/>
      <c r="C63" s="80">
        <v>45</v>
      </c>
      <c r="D63" s="101"/>
      <c r="E63" s="119"/>
      <c r="F63" s="140"/>
      <c r="G63" s="159"/>
      <c r="H63" s="173"/>
      <c r="I63" s="182"/>
      <c r="J63" s="191" t="s">
        <v>174</v>
      </c>
      <c r="K63" s="203"/>
      <c r="L63" s="212">
        <f t="shared" si="0"/>
        <v>0</v>
      </c>
      <c r="M63" s="223">
        <f t="shared" si="7"/>
        <v>0</v>
      </c>
      <c r="N63" s="235">
        <f t="shared" si="2"/>
        <v>0</v>
      </c>
      <c r="O63" s="238">
        <f>IF('2.支出明細'!$H$102=0,0,IF(ISBLANK(K63),0,ROUND($F$12*I63/K63,0)))</f>
        <v>0</v>
      </c>
      <c r="P63" s="250">
        <f t="shared" si="6"/>
        <v>0</v>
      </c>
      <c r="Q63" s="257">
        <f t="shared" si="3"/>
        <v>0</v>
      </c>
      <c r="R63" s="257">
        <f t="shared" si="4"/>
        <v>0</v>
      </c>
      <c r="S63" s="272">
        <f t="shared" si="5"/>
        <v>0</v>
      </c>
      <c r="T63" s="285"/>
      <c r="U63" s="56"/>
    </row>
    <row r="64" spans="1:21" s="55" customFormat="1" ht="19.5" customHeight="1">
      <c r="A64" s="59"/>
      <c r="B64" s="68" t="s">
        <v>143</v>
      </c>
      <c r="C64" s="81"/>
      <c r="D64" s="102">
        <f>COUNTA(D19:D63)</f>
        <v>11</v>
      </c>
      <c r="E64" s="120" t="s">
        <v>183</v>
      </c>
      <c r="F64" s="141">
        <f>SUM(F19:F63)</f>
        <v>100000</v>
      </c>
      <c r="G64" s="160">
        <f>SUM(G19:G63)</f>
        <v>2000000</v>
      </c>
      <c r="H64" s="174">
        <f>SUM(H19:H63)</f>
        <v>280000</v>
      </c>
      <c r="I64" s="183">
        <f>SUM(I19:I63)</f>
        <v>10</v>
      </c>
      <c r="J64" s="192" t="s">
        <v>174</v>
      </c>
      <c r="K64" s="204">
        <f>IF(K19=100,"100",COUNT(K19:K63))</f>
        <v>10</v>
      </c>
      <c r="L64" s="213">
        <f t="shared" ref="L64:R64" si="8">SUM(L19:L63)</f>
        <v>5000000</v>
      </c>
      <c r="M64" s="224">
        <f t="shared" si="8"/>
        <v>5000000</v>
      </c>
      <c r="N64" s="141">
        <f t="shared" si="8"/>
        <v>7280000</v>
      </c>
      <c r="O64" s="240">
        <f t="shared" si="8"/>
        <v>869090</v>
      </c>
      <c r="P64" s="160">
        <f t="shared" si="8"/>
        <v>869086</v>
      </c>
      <c r="Q64" s="258">
        <f t="shared" si="8"/>
        <v>3259350</v>
      </c>
      <c r="R64" s="258">
        <f t="shared" si="8"/>
        <v>3259350</v>
      </c>
      <c r="S64" s="174">
        <f t="shared" si="5"/>
        <v>4128436</v>
      </c>
      <c r="T64" s="286"/>
      <c r="U64" s="59"/>
    </row>
    <row r="65" spans="1:21" ht="19.5" customHeight="1">
      <c r="A65" s="56"/>
      <c r="B65" s="56"/>
      <c r="C65" s="56"/>
      <c r="D65" s="56"/>
      <c r="E65" s="56"/>
      <c r="F65" s="121"/>
      <c r="G65" s="121"/>
      <c r="H65" s="121"/>
      <c r="I65" s="56"/>
      <c r="J65" s="56"/>
      <c r="K65" s="56"/>
      <c r="L65" s="121">
        <f>M12-L64</f>
        <v>0</v>
      </c>
      <c r="M65" s="56"/>
      <c r="N65" s="56"/>
      <c r="O65" s="121">
        <f>F12-O64</f>
        <v>-4</v>
      </c>
      <c r="P65" s="56"/>
      <c r="Q65" s="121">
        <f>F13-Q64</f>
        <v>0</v>
      </c>
      <c r="R65" s="56"/>
      <c r="S65" s="56"/>
      <c r="T65" s="56"/>
      <c r="U65" s="56"/>
    </row>
    <row r="75" spans="1:21">
      <c r="J75" s="193"/>
    </row>
    <row r="76" spans="1:21">
      <c r="J76" s="193"/>
    </row>
    <row r="77" spans="1:21">
      <c r="J77" s="193"/>
    </row>
    <row r="78" spans="1:21">
      <c r="J78" s="193"/>
    </row>
    <row r="79" spans="1:21">
      <c r="J79" s="193"/>
    </row>
    <row r="80" spans="1:21">
      <c r="J80" s="193"/>
    </row>
    <row r="81" spans="10:10">
      <c r="J81" s="193"/>
    </row>
    <row r="82" spans="10:10">
      <c r="J82" s="193"/>
    </row>
    <row r="83" spans="10:10">
      <c r="J83" s="193"/>
    </row>
  </sheetData>
  <mergeCells count="28">
    <mergeCell ref="C2:D2"/>
    <mergeCell ref="H2:K2"/>
    <mergeCell ref="M3:N3"/>
    <mergeCell ref="M4:N4"/>
    <mergeCell ref="G5:S5"/>
    <mergeCell ref="G7:S7"/>
    <mergeCell ref="G8:S8"/>
    <mergeCell ref="H10:P10"/>
    <mergeCell ref="I12:K12"/>
    <mergeCell ref="R12:T12"/>
    <mergeCell ref="I14:K14"/>
    <mergeCell ref="R14:T14"/>
    <mergeCell ref="B16:C16"/>
    <mergeCell ref="D16:E16"/>
    <mergeCell ref="F16:H16"/>
    <mergeCell ref="I16:K16"/>
    <mergeCell ref="M16:S16"/>
    <mergeCell ref="G17:H17"/>
    <mergeCell ref="I17:K17"/>
    <mergeCell ref="P17:S17"/>
    <mergeCell ref="B64:C64"/>
    <mergeCell ref="T16:T18"/>
    <mergeCell ref="B17:B18"/>
    <mergeCell ref="C17:C18"/>
    <mergeCell ref="D17:E18"/>
    <mergeCell ref="F17:F18"/>
    <mergeCell ref="M17:M18"/>
    <mergeCell ref="N17:N18"/>
  </mergeCells>
  <phoneticPr fontId="5"/>
  <dataValidations count="4">
    <dataValidation imeMode="on" allowBlank="1" showDropDown="0" showInputMessage="1" showErrorMessage="1" sqref="B19:B63 D19:D63 M3:M4 R14:T14"/>
    <dataValidation imeMode="off" allowBlank="1" showDropDown="0" showInputMessage="1" showErrorMessage="1" sqref="T19:T63 K19:K63 M14 S3:S4 F19:I63 F5:F7"/>
    <dataValidation type="list" imeMode="on" allowBlank="1" showDropDown="0" showInputMessage="1" showErrorMessage="1" sqref="R12:T12">
      <formula1>"協定者で均等に按分,耕地面積により配分"</formula1>
    </dataValidation>
    <dataValidation type="list" imeMode="on" allowBlank="1" showDropDown="0" showInputMessage="1" showErrorMessage="1" sqref="H10:P10">
      <formula1>"耕地面積により配分,個人配分しない,協定者に均等に按分"</formula1>
    </dataValidation>
  </dataValidations>
  <printOptions horizontalCentered="1" verticalCentered="1"/>
  <pageMargins left="0.39370078740157483" right="0.39370078740157483" top="0.39370078740157483" bottom="0.39370078740157483" header="0.11811023622047245" footer="0.19685039370078741"/>
  <pageSetup paperSize="9" scale="84" fitToWidth="1" fitToHeight="1" orientation="landscape" usePrinterDefaults="1" r:id="rId1"/>
  <headerFooter alignWithMargins="0">
    <oddHeader>&amp;R&amp;A</oddHeader>
    <oddFooter xml:space="preserve">&amp;R&amp;A&amp;P/&amp;N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T46"/>
  <sheetViews>
    <sheetView showGridLines="0" view="pageBreakPreview" zoomScaleNormal="96" zoomScaleSheetLayoutView="100" workbookViewId="0">
      <pane ySplit="5" topLeftCell="A18" activePane="bottomLeft" state="frozen"/>
      <selection pane="bottomLeft" activeCell="F30" sqref="F30"/>
    </sheetView>
  </sheetViews>
  <sheetFormatPr defaultColWidth="8.75" defaultRowHeight="13.5"/>
  <cols>
    <col min="1" max="1" width="1.75" style="21" customWidth="1"/>
    <col min="2" max="2" width="10.75" style="21" customWidth="1"/>
    <col min="3" max="4" width="3.75" style="21" customWidth="1"/>
    <col min="5" max="5" width="19.875" style="22" customWidth="1"/>
    <col min="6" max="7" width="12.75" style="21" customWidth="1"/>
    <col min="8" max="8" width="13.875" style="21" customWidth="1"/>
    <col min="9" max="10" width="28.625" style="21" customWidth="1"/>
    <col min="11" max="14" width="5" style="21" customWidth="1"/>
    <col min="15" max="15" width="3" style="21" customWidth="1"/>
    <col min="16" max="19" width="8.75" style="21"/>
    <col min="20" max="20" width="7.125" style="21" customWidth="1"/>
    <col min="21" max="16384" width="8.75" style="21"/>
  </cols>
  <sheetData>
    <row r="1" spans="1:20" ht="25.9" customHeight="1">
      <c r="A1" s="290"/>
      <c r="C1" s="298"/>
      <c r="D1" s="304"/>
      <c r="E1" s="306"/>
      <c r="F1" s="298" t="s">
        <v>661</v>
      </c>
      <c r="G1" s="298"/>
      <c r="H1" s="298"/>
      <c r="I1" s="298"/>
      <c r="J1" s="298"/>
      <c r="K1" s="298"/>
      <c r="L1" s="298"/>
      <c r="M1" s="298"/>
      <c r="N1" s="298"/>
      <c r="O1" s="330"/>
    </row>
    <row r="2" spans="1:20" ht="18" customHeight="1">
      <c r="A2" s="290"/>
      <c r="E2" s="307"/>
      <c r="F2" s="21" t="s">
        <v>656</v>
      </c>
      <c r="H2" s="317" t="s">
        <v>341</v>
      </c>
      <c r="I2" s="320" t="str">
        <f>'1.入力表'!M3&amp;"集落"</f>
        <v>奥安来集落</v>
      </c>
      <c r="J2" s="320"/>
      <c r="O2" s="330"/>
    </row>
    <row r="3" spans="1:20" ht="7.15" customHeight="1">
      <c r="A3" s="290"/>
      <c r="O3" s="330"/>
    </row>
    <row r="4" spans="1:20" ht="27" customHeight="1">
      <c r="A4" s="290"/>
      <c r="B4" s="293" t="s">
        <v>505</v>
      </c>
      <c r="C4" s="299" t="s">
        <v>662</v>
      </c>
      <c r="D4" s="305" t="s">
        <v>663</v>
      </c>
      <c r="E4" s="308" t="s">
        <v>344</v>
      </c>
      <c r="F4" s="312" t="s">
        <v>664</v>
      </c>
      <c r="G4" s="293" t="s">
        <v>492</v>
      </c>
      <c r="H4" s="312" t="s">
        <v>665</v>
      </c>
      <c r="I4" s="312" t="s">
        <v>552</v>
      </c>
      <c r="J4" s="312" t="s">
        <v>352</v>
      </c>
      <c r="K4" s="323" t="s">
        <v>13</v>
      </c>
      <c r="L4" s="325"/>
      <c r="M4" s="325"/>
      <c r="N4" s="328"/>
      <c r="O4" s="330"/>
    </row>
    <row r="5" spans="1:20" ht="31.15" customHeight="1">
      <c r="A5" s="290"/>
      <c r="B5" s="294"/>
      <c r="C5" s="300" t="s">
        <v>667</v>
      </c>
      <c r="D5" s="300" t="s">
        <v>400</v>
      </c>
      <c r="E5" s="309"/>
      <c r="F5" s="313"/>
      <c r="G5" s="294"/>
      <c r="H5" s="313"/>
      <c r="I5" s="313"/>
      <c r="J5" s="313"/>
      <c r="K5" s="313" t="s">
        <v>539</v>
      </c>
      <c r="L5" s="313" t="s">
        <v>768</v>
      </c>
      <c r="M5" s="313" t="s">
        <v>610</v>
      </c>
      <c r="N5" s="313" t="s">
        <v>769</v>
      </c>
      <c r="O5" s="330"/>
    </row>
    <row r="6" spans="1:20" ht="18" customHeight="1">
      <c r="A6" s="290"/>
      <c r="B6" s="295">
        <v>45292</v>
      </c>
      <c r="C6" s="301" t="s">
        <v>365</v>
      </c>
      <c r="D6" s="301"/>
      <c r="E6" s="310" t="s">
        <v>668</v>
      </c>
      <c r="F6" s="314">
        <v>1000000</v>
      </c>
      <c r="G6" s="314">
        <v>0</v>
      </c>
      <c r="H6" s="318">
        <f>F6-G6</f>
        <v>1000000</v>
      </c>
      <c r="I6" s="310" t="s">
        <v>388</v>
      </c>
      <c r="J6" s="310"/>
      <c r="K6" s="301"/>
      <c r="L6" s="301"/>
      <c r="M6" s="301"/>
      <c r="N6" s="301"/>
      <c r="O6" s="331" t="s">
        <v>690</v>
      </c>
      <c r="P6" s="331"/>
      <c r="Q6" s="331"/>
    </row>
    <row r="7" spans="1:20" s="289" customFormat="1" ht="18" customHeight="1">
      <c r="A7" s="291"/>
      <c r="B7" s="295">
        <v>45352</v>
      </c>
      <c r="C7" s="301" t="s">
        <v>365</v>
      </c>
      <c r="D7" s="301"/>
      <c r="E7" s="310" t="s">
        <v>672</v>
      </c>
      <c r="F7" s="315"/>
      <c r="G7" s="315">
        <v>1000000</v>
      </c>
      <c r="H7" s="318">
        <f t="shared" ref="H7:H46" si="0">H6+F7-G7</f>
        <v>0</v>
      </c>
      <c r="I7" s="321" t="s">
        <v>481</v>
      </c>
      <c r="J7" s="321" t="s">
        <v>640</v>
      </c>
      <c r="K7" s="301"/>
      <c r="L7" s="301"/>
      <c r="M7" s="301"/>
      <c r="N7" s="301"/>
      <c r="O7" s="330"/>
      <c r="P7" s="331"/>
      <c r="Q7" s="331"/>
      <c r="R7" s="21"/>
      <c r="S7" s="21"/>
      <c r="T7" s="21"/>
    </row>
    <row r="8" spans="1:20" ht="18" customHeight="1">
      <c r="A8" s="290"/>
      <c r="B8" s="295">
        <v>45468</v>
      </c>
      <c r="C8" s="301" t="s">
        <v>365</v>
      </c>
      <c r="D8" s="301" t="s">
        <v>365</v>
      </c>
      <c r="E8" s="310" t="s">
        <v>234</v>
      </c>
      <c r="F8" s="315">
        <v>5500000</v>
      </c>
      <c r="G8" s="315"/>
      <c r="H8" s="318">
        <f t="shared" si="0"/>
        <v>5500000</v>
      </c>
      <c r="I8" s="321" t="s">
        <v>65</v>
      </c>
      <c r="J8" s="321"/>
      <c r="K8" s="301"/>
      <c r="L8" s="301"/>
      <c r="M8" s="301"/>
      <c r="N8" s="301"/>
      <c r="O8" s="330"/>
      <c r="P8" s="331"/>
      <c r="Q8" s="331"/>
      <c r="R8" s="333"/>
    </row>
    <row r="9" spans="1:20" ht="18" customHeight="1">
      <c r="A9" s="290"/>
      <c r="B9" s="295">
        <v>45505</v>
      </c>
      <c r="C9" s="301" t="s">
        <v>365</v>
      </c>
      <c r="D9" s="301" t="s">
        <v>365</v>
      </c>
      <c r="E9" s="310" t="s">
        <v>678</v>
      </c>
      <c r="F9" s="315"/>
      <c r="G9" s="315">
        <v>1000</v>
      </c>
      <c r="H9" s="318">
        <f t="shared" si="0"/>
        <v>5499000</v>
      </c>
      <c r="I9" s="321" t="s">
        <v>646</v>
      </c>
      <c r="J9" s="321" t="s">
        <v>867</v>
      </c>
      <c r="K9" s="301"/>
      <c r="L9" s="301"/>
      <c r="M9" s="301"/>
      <c r="N9" s="301"/>
      <c r="O9" s="330"/>
      <c r="P9" s="331"/>
      <c r="Q9" s="331"/>
    </row>
    <row r="10" spans="1:20" ht="18" customHeight="1">
      <c r="A10" s="290"/>
      <c r="B10" s="295">
        <v>45505</v>
      </c>
      <c r="C10" s="301" t="s">
        <v>365</v>
      </c>
      <c r="D10" s="301" t="s">
        <v>365</v>
      </c>
      <c r="E10" s="310" t="s">
        <v>678</v>
      </c>
      <c r="F10" s="315"/>
      <c r="G10" s="315">
        <v>700</v>
      </c>
      <c r="H10" s="318">
        <f t="shared" si="0"/>
        <v>5498300</v>
      </c>
      <c r="I10" s="321" t="s">
        <v>488</v>
      </c>
      <c r="J10" s="321" t="s">
        <v>708</v>
      </c>
      <c r="K10" s="301"/>
      <c r="L10" s="301"/>
      <c r="M10" s="301"/>
      <c r="N10" s="301"/>
      <c r="O10" s="330"/>
      <c r="P10" s="331"/>
      <c r="Q10" s="331"/>
    </row>
    <row r="11" spans="1:20" ht="18" customHeight="1">
      <c r="A11" s="290"/>
      <c r="B11" s="295">
        <v>45505</v>
      </c>
      <c r="C11" s="301" t="s">
        <v>365</v>
      </c>
      <c r="D11" s="301" t="s">
        <v>365</v>
      </c>
      <c r="E11" s="310" t="s">
        <v>678</v>
      </c>
      <c r="F11" s="315"/>
      <c r="G11" s="315">
        <v>11000</v>
      </c>
      <c r="H11" s="318">
        <f t="shared" si="0"/>
        <v>5487300</v>
      </c>
      <c r="I11" s="321" t="s">
        <v>868</v>
      </c>
      <c r="J11" s="321" t="s">
        <v>869</v>
      </c>
      <c r="K11" s="301"/>
      <c r="L11" s="301"/>
      <c r="M11" s="301"/>
      <c r="N11" s="301"/>
      <c r="O11" s="330"/>
      <c r="P11" s="331"/>
      <c r="Q11" s="331"/>
    </row>
    <row r="12" spans="1:20" ht="18" customHeight="1">
      <c r="A12" s="290"/>
      <c r="B12" s="295">
        <v>45513</v>
      </c>
      <c r="C12" s="301" t="s">
        <v>365</v>
      </c>
      <c r="D12" s="301" t="s">
        <v>365</v>
      </c>
      <c r="E12" s="310" t="s">
        <v>680</v>
      </c>
      <c r="F12" s="315"/>
      <c r="G12" s="315">
        <v>68000</v>
      </c>
      <c r="H12" s="318">
        <f t="shared" si="0"/>
        <v>5419300</v>
      </c>
      <c r="I12" s="321" t="s">
        <v>870</v>
      </c>
      <c r="J12" s="321" t="s">
        <v>871</v>
      </c>
      <c r="K12" s="301"/>
      <c r="L12" s="301"/>
      <c r="M12" s="301"/>
      <c r="N12" s="301"/>
      <c r="O12" s="330"/>
      <c r="P12" s="331"/>
      <c r="Q12" s="331"/>
    </row>
    <row r="13" spans="1:20" ht="18" customHeight="1">
      <c r="A13" s="290"/>
      <c r="B13" s="295">
        <v>45513</v>
      </c>
      <c r="C13" s="301" t="s">
        <v>365</v>
      </c>
      <c r="D13" s="301" t="s">
        <v>365</v>
      </c>
      <c r="E13" s="310" t="s">
        <v>680</v>
      </c>
      <c r="F13" s="315"/>
      <c r="G13" s="315">
        <v>43123</v>
      </c>
      <c r="H13" s="318">
        <f t="shared" si="0"/>
        <v>5376177</v>
      </c>
      <c r="I13" s="321" t="s">
        <v>855</v>
      </c>
      <c r="J13" s="321" t="s">
        <v>503</v>
      </c>
      <c r="K13" s="301"/>
      <c r="L13" s="301"/>
      <c r="M13" s="301"/>
      <c r="N13" s="301"/>
      <c r="O13" s="330"/>
      <c r="P13" s="331"/>
      <c r="Q13" s="331"/>
    </row>
    <row r="14" spans="1:20" ht="18" customHeight="1">
      <c r="A14" s="290"/>
      <c r="B14" s="295">
        <v>45513</v>
      </c>
      <c r="C14" s="301" t="s">
        <v>365</v>
      </c>
      <c r="D14" s="301" t="s">
        <v>365</v>
      </c>
      <c r="E14" s="310" t="s">
        <v>680</v>
      </c>
      <c r="F14" s="315"/>
      <c r="G14" s="315">
        <v>10000</v>
      </c>
      <c r="H14" s="318">
        <f t="shared" si="0"/>
        <v>5366177</v>
      </c>
      <c r="I14" s="321" t="s">
        <v>88</v>
      </c>
      <c r="J14" s="321" t="s">
        <v>728</v>
      </c>
      <c r="K14" s="301"/>
      <c r="L14" s="301"/>
      <c r="M14" s="301"/>
      <c r="N14" s="301"/>
      <c r="O14" s="330"/>
      <c r="P14" s="331"/>
      <c r="Q14" s="331"/>
    </row>
    <row r="15" spans="1:20" ht="18" customHeight="1">
      <c r="A15" s="290"/>
      <c r="B15" s="295">
        <v>45548</v>
      </c>
      <c r="C15" s="301" t="s">
        <v>365</v>
      </c>
      <c r="D15" s="301" t="s">
        <v>365</v>
      </c>
      <c r="E15" s="310" t="s">
        <v>374</v>
      </c>
      <c r="F15" s="315"/>
      <c r="G15" s="315">
        <v>35000</v>
      </c>
      <c r="H15" s="318">
        <f t="shared" si="0"/>
        <v>5331177</v>
      </c>
      <c r="I15" s="321" t="s">
        <v>872</v>
      </c>
      <c r="J15" s="321" t="s">
        <v>874</v>
      </c>
      <c r="K15" s="301"/>
      <c r="L15" s="301"/>
      <c r="M15" s="301"/>
      <c r="N15" s="301"/>
      <c r="O15" s="330"/>
      <c r="P15" s="331"/>
      <c r="Q15" s="331"/>
    </row>
    <row r="16" spans="1:20" ht="18" customHeight="1">
      <c r="A16" s="290"/>
      <c r="B16" s="295">
        <v>45548</v>
      </c>
      <c r="C16" s="301" t="s">
        <v>365</v>
      </c>
      <c r="D16" s="301" t="s">
        <v>365</v>
      </c>
      <c r="E16" s="310" t="s">
        <v>374</v>
      </c>
      <c r="F16" s="315"/>
      <c r="G16" s="315">
        <v>2825</v>
      </c>
      <c r="H16" s="318">
        <f t="shared" si="0"/>
        <v>5328352</v>
      </c>
      <c r="I16" s="321" t="s">
        <v>385</v>
      </c>
      <c r="J16" s="321" t="s">
        <v>874</v>
      </c>
      <c r="K16" s="301"/>
      <c r="L16" s="301"/>
      <c r="M16" s="301"/>
      <c r="N16" s="301"/>
      <c r="O16" s="330"/>
      <c r="P16" s="331"/>
      <c r="Q16" s="331"/>
    </row>
    <row r="17" spans="1:17" ht="18" customHeight="1">
      <c r="A17" s="290"/>
      <c r="B17" s="295">
        <v>45548</v>
      </c>
      <c r="C17" s="301" t="s">
        <v>365</v>
      </c>
      <c r="D17" s="301" t="s">
        <v>365</v>
      </c>
      <c r="E17" s="310" t="s">
        <v>374</v>
      </c>
      <c r="F17" s="315"/>
      <c r="G17" s="315">
        <v>34120</v>
      </c>
      <c r="H17" s="318">
        <f t="shared" si="0"/>
        <v>5294232</v>
      </c>
      <c r="I17" s="321" t="s">
        <v>138</v>
      </c>
      <c r="J17" s="321" t="s">
        <v>560</v>
      </c>
      <c r="K17" s="301"/>
      <c r="L17" s="301"/>
      <c r="M17" s="301"/>
      <c r="N17" s="301"/>
      <c r="O17" s="330"/>
      <c r="P17" s="331"/>
      <c r="Q17" s="331"/>
    </row>
    <row r="18" spans="1:17" ht="18" customHeight="1">
      <c r="A18" s="290"/>
      <c r="B18" s="295">
        <v>45548</v>
      </c>
      <c r="C18" s="301" t="s">
        <v>365</v>
      </c>
      <c r="D18" s="301" t="s">
        <v>365</v>
      </c>
      <c r="E18" s="310" t="s">
        <v>374</v>
      </c>
      <c r="F18" s="315"/>
      <c r="G18" s="314">
        <v>5860</v>
      </c>
      <c r="H18" s="318">
        <f t="shared" si="0"/>
        <v>5288372</v>
      </c>
      <c r="I18" s="321" t="s">
        <v>433</v>
      </c>
      <c r="J18" s="321" t="s">
        <v>869</v>
      </c>
      <c r="K18" s="301"/>
      <c r="L18" s="301"/>
      <c r="M18" s="301"/>
      <c r="N18" s="301"/>
      <c r="O18" s="330"/>
      <c r="P18" s="331"/>
      <c r="Q18" s="331"/>
    </row>
    <row r="19" spans="1:17" ht="18" customHeight="1">
      <c r="A19" s="290"/>
      <c r="B19" s="295">
        <v>45548</v>
      </c>
      <c r="C19" s="301" t="s">
        <v>365</v>
      </c>
      <c r="D19" s="301" t="s">
        <v>365</v>
      </c>
      <c r="E19" s="310" t="s">
        <v>374</v>
      </c>
      <c r="F19" s="315"/>
      <c r="G19" s="314">
        <v>2550</v>
      </c>
      <c r="H19" s="318">
        <f t="shared" si="0"/>
        <v>5285822</v>
      </c>
      <c r="I19" s="321" t="s">
        <v>764</v>
      </c>
      <c r="J19" s="321" t="s">
        <v>871</v>
      </c>
      <c r="K19" s="301"/>
      <c r="L19" s="301"/>
      <c r="M19" s="301"/>
      <c r="N19" s="301"/>
      <c r="O19" s="330"/>
    </row>
    <row r="20" spans="1:17" ht="18" customHeight="1">
      <c r="A20" s="290"/>
      <c r="B20" s="295">
        <v>45565</v>
      </c>
      <c r="C20" s="301" t="s">
        <v>365</v>
      </c>
      <c r="D20" s="301" t="s">
        <v>365</v>
      </c>
      <c r="E20" s="310" t="s">
        <v>374</v>
      </c>
      <c r="F20" s="315"/>
      <c r="G20" s="315">
        <v>120000</v>
      </c>
      <c r="H20" s="318">
        <f t="shared" si="0"/>
        <v>5165822</v>
      </c>
      <c r="I20" s="321" t="s">
        <v>876</v>
      </c>
      <c r="J20" s="321" t="s">
        <v>48</v>
      </c>
      <c r="K20" s="301"/>
      <c r="L20" s="301"/>
      <c r="M20" s="301"/>
      <c r="N20" s="301"/>
      <c r="O20" s="330"/>
    </row>
    <row r="21" spans="1:17" ht="18" customHeight="1">
      <c r="A21" s="290"/>
      <c r="B21" s="295">
        <v>45575</v>
      </c>
      <c r="C21" s="301" t="s">
        <v>365</v>
      </c>
      <c r="D21" s="301" t="s">
        <v>365</v>
      </c>
      <c r="E21" s="310" t="s">
        <v>683</v>
      </c>
      <c r="F21" s="315"/>
      <c r="G21" s="315">
        <v>30000</v>
      </c>
      <c r="H21" s="318">
        <f t="shared" si="0"/>
        <v>5135822</v>
      </c>
      <c r="I21" s="321" t="s">
        <v>402</v>
      </c>
      <c r="J21" s="321" t="s">
        <v>542</v>
      </c>
      <c r="K21" s="301"/>
      <c r="L21" s="301"/>
      <c r="M21" s="301"/>
      <c r="N21" s="301"/>
      <c r="O21" s="330"/>
    </row>
    <row r="22" spans="1:17" ht="18" customHeight="1">
      <c r="A22" s="290"/>
      <c r="B22" s="295">
        <v>45575</v>
      </c>
      <c r="C22" s="301" t="s">
        <v>365</v>
      </c>
      <c r="D22" s="301" t="s">
        <v>365</v>
      </c>
      <c r="E22" s="310" t="s">
        <v>683</v>
      </c>
      <c r="F22" s="315"/>
      <c r="G22" s="315">
        <v>25000</v>
      </c>
      <c r="H22" s="318">
        <f t="shared" si="0"/>
        <v>5110822</v>
      </c>
      <c r="I22" s="321" t="s">
        <v>877</v>
      </c>
      <c r="J22" s="321" t="s">
        <v>871</v>
      </c>
      <c r="K22" s="301"/>
      <c r="L22" s="301"/>
      <c r="M22" s="301"/>
      <c r="N22" s="301"/>
      <c r="O22" s="330"/>
    </row>
    <row r="23" spans="1:17" ht="18" customHeight="1">
      <c r="A23" s="290"/>
      <c r="B23" s="295">
        <v>45575</v>
      </c>
      <c r="C23" s="301" t="s">
        <v>365</v>
      </c>
      <c r="D23" s="301" t="s">
        <v>365</v>
      </c>
      <c r="E23" s="310" t="s">
        <v>683</v>
      </c>
      <c r="F23" s="315"/>
      <c r="G23" s="315">
        <v>1200</v>
      </c>
      <c r="H23" s="318">
        <f t="shared" si="0"/>
        <v>5109622</v>
      </c>
      <c r="I23" s="321" t="s">
        <v>133</v>
      </c>
      <c r="J23" s="321" t="s">
        <v>869</v>
      </c>
      <c r="K23" s="301"/>
      <c r="L23" s="301"/>
      <c r="M23" s="301"/>
      <c r="N23" s="301"/>
      <c r="O23" s="330"/>
    </row>
    <row r="24" spans="1:17" ht="18" customHeight="1">
      <c r="A24" s="290"/>
      <c r="B24" s="296">
        <v>45596</v>
      </c>
      <c r="C24" s="301" t="s">
        <v>365</v>
      </c>
      <c r="D24" s="301" t="s">
        <v>365</v>
      </c>
      <c r="E24" s="310" t="s">
        <v>374</v>
      </c>
      <c r="F24" s="315"/>
      <c r="G24" s="315">
        <v>50000</v>
      </c>
      <c r="H24" s="318">
        <f t="shared" si="0"/>
        <v>5059622</v>
      </c>
      <c r="I24" s="321" t="s">
        <v>98</v>
      </c>
      <c r="J24" s="321" t="s">
        <v>514</v>
      </c>
      <c r="K24" s="301"/>
      <c r="L24" s="301"/>
      <c r="M24" s="301"/>
      <c r="N24" s="301"/>
      <c r="O24" s="330"/>
    </row>
    <row r="25" spans="1:17" ht="18" customHeight="1">
      <c r="A25" s="290"/>
      <c r="B25" s="296">
        <v>45611</v>
      </c>
      <c r="C25" s="301" t="s">
        <v>365</v>
      </c>
      <c r="D25" s="301" t="s">
        <v>365</v>
      </c>
      <c r="E25" s="310" t="s">
        <v>680</v>
      </c>
      <c r="F25" s="315"/>
      <c r="G25" s="315">
        <v>80000</v>
      </c>
      <c r="H25" s="318">
        <f t="shared" si="0"/>
        <v>4979622</v>
      </c>
      <c r="I25" s="321" t="s">
        <v>878</v>
      </c>
      <c r="J25" s="321" t="s">
        <v>879</v>
      </c>
      <c r="K25" s="301" t="s">
        <v>365</v>
      </c>
      <c r="L25" s="301"/>
      <c r="M25" s="301"/>
      <c r="N25" s="301"/>
      <c r="O25" s="330"/>
    </row>
    <row r="26" spans="1:17" ht="18" customHeight="1">
      <c r="A26" s="290"/>
      <c r="B26" s="296">
        <v>45611</v>
      </c>
      <c r="C26" s="301" t="s">
        <v>365</v>
      </c>
      <c r="D26" s="301" t="s">
        <v>365</v>
      </c>
      <c r="E26" s="310" t="s">
        <v>633</v>
      </c>
      <c r="F26" s="315"/>
      <c r="G26" s="315">
        <v>1000</v>
      </c>
      <c r="H26" s="318">
        <f t="shared" si="0"/>
        <v>4978622</v>
      </c>
      <c r="I26" s="321" t="s">
        <v>441</v>
      </c>
      <c r="J26" s="321" t="s">
        <v>874</v>
      </c>
      <c r="K26" s="301" t="s">
        <v>365</v>
      </c>
      <c r="L26" s="301"/>
      <c r="M26" s="301"/>
      <c r="N26" s="301"/>
      <c r="O26" s="330"/>
    </row>
    <row r="27" spans="1:17" ht="18" customHeight="1">
      <c r="A27" s="290"/>
      <c r="B27" s="296">
        <v>45611</v>
      </c>
      <c r="C27" s="301" t="s">
        <v>365</v>
      </c>
      <c r="D27" s="301" t="s">
        <v>365</v>
      </c>
      <c r="E27" s="310" t="s">
        <v>633</v>
      </c>
      <c r="F27" s="315"/>
      <c r="G27" s="315">
        <v>980</v>
      </c>
      <c r="H27" s="318">
        <f t="shared" si="0"/>
        <v>4977642</v>
      </c>
      <c r="I27" s="321" t="s">
        <v>262</v>
      </c>
      <c r="J27" s="321" t="s">
        <v>874</v>
      </c>
      <c r="K27" s="301" t="s">
        <v>365</v>
      </c>
      <c r="L27" s="326"/>
      <c r="M27" s="326"/>
      <c r="N27" s="301"/>
      <c r="O27" s="330"/>
    </row>
    <row r="28" spans="1:17" ht="18" customHeight="1">
      <c r="A28" s="290"/>
      <c r="B28" s="296">
        <v>45611</v>
      </c>
      <c r="C28" s="301" t="s">
        <v>365</v>
      </c>
      <c r="D28" s="301" t="s">
        <v>365</v>
      </c>
      <c r="E28" s="310" t="s">
        <v>633</v>
      </c>
      <c r="F28" s="315"/>
      <c r="G28" s="315">
        <v>12000</v>
      </c>
      <c r="H28" s="318">
        <f t="shared" si="0"/>
        <v>4965642</v>
      </c>
      <c r="I28" s="321" t="s">
        <v>880</v>
      </c>
      <c r="J28" s="321" t="s">
        <v>873</v>
      </c>
      <c r="K28" s="324"/>
      <c r="L28" s="327"/>
      <c r="M28" s="327"/>
      <c r="N28" s="329"/>
      <c r="O28" s="330"/>
    </row>
    <row r="29" spans="1:17" ht="18" customHeight="1">
      <c r="A29" s="290"/>
      <c r="B29" s="296">
        <v>45626</v>
      </c>
      <c r="C29" s="301" t="s">
        <v>365</v>
      </c>
      <c r="D29" s="301" t="s">
        <v>365</v>
      </c>
      <c r="E29" s="310" t="s">
        <v>684</v>
      </c>
      <c r="F29" s="315"/>
      <c r="G29" s="315">
        <v>39800</v>
      </c>
      <c r="H29" s="318">
        <f t="shared" si="0"/>
        <v>4925842</v>
      </c>
      <c r="I29" s="321" t="s">
        <v>426</v>
      </c>
      <c r="J29" s="321" t="s">
        <v>871</v>
      </c>
      <c r="K29" s="324"/>
      <c r="L29" s="327"/>
      <c r="M29" s="327"/>
      <c r="N29" s="329"/>
      <c r="O29" s="330"/>
    </row>
    <row r="30" spans="1:17" ht="18" customHeight="1">
      <c r="A30" s="290"/>
      <c r="B30" s="296">
        <v>45626</v>
      </c>
      <c r="C30" s="301" t="s">
        <v>365</v>
      </c>
      <c r="D30" s="301" t="s">
        <v>365</v>
      </c>
      <c r="E30" s="310" t="s">
        <v>684</v>
      </c>
      <c r="F30" s="315"/>
      <c r="G30" s="315">
        <v>73200</v>
      </c>
      <c r="H30" s="318">
        <f t="shared" si="0"/>
        <v>4852642</v>
      </c>
      <c r="I30" s="321" t="s">
        <v>671</v>
      </c>
      <c r="J30" s="321" t="s">
        <v>560</v>
      </c>
      <c r="K30" s="301"/>
      <c r="L30" s="301"/>
      <c r="M30" s="301"/>
      <c r="N30" s="301"/>
      <c r="O30" s="330"/>
    </row>
    <row r="31" spans="1:17" ht="18" customHeight="1">
      <c r="A31" s="290"/>
      <c r="B31" s="296">
        <v>45626</v>
      </c>
      <c r="C31" s="301" t="s">
        <v>365</v>
      </c>
      <c r="D31" s="301" t="s">
        <v>365</v>
      </c>
      <c r="E31" s="310" t="s">
        <v>676</v>
      </c>
      <c r="F31" s="315">
        <v>15</v>
      </c>
      <c r="G31" s="315"/>
      <c r="H31" s="318">
        <f t="shared" si="0"/>
        <v>4852657</v>
      </c>
      <c r="I31" s="321" t="s">
        <v>676</v>
      </c>
      <c r="J31" s="321"/>
      <c r="K31" s="301"/>
      <c r="L31" s="301"/>
      <c r="M31" s="301"/>
      <c r="N31" s="301"/>
      <c r="O31" s="330"/>
    </row>
    <row r="32" spans="1:17" ht="18" customHeight="1">
      <c r="A32" s="290"/>
      <c r="B32" s="296">
        <v>45639</v>
      </c>
      <c r="C32" s="301" t="s">
        <v>365</v>
      </c>
      <c r="D32" s="301" t="s">
        <v>365</v>
      </c>
      <c r="E32" s="310" t="s">
        <v>234</v>
      </c>
      <c r="F32" s="315">
        <v>1300000</v>
      </c>
      <c r="G32" s="315"/>
      <c r="H32" s="318">
        <f t="shared" si="0"/>
        <v>6152657</v>
      </c>
      <c r="I32" s="321" t="s">
        <v>95</v>
      </c>
      <c r="J32" s="321"/>
      <c r="K32" s="301"/>
      <c r="L32" s="301"/>
      <c r="M32" s="301"/>
      <c r="N32" s="301"/>
      <c r="O32" s="330"/>
    </row>
    <row r="33" spans="1:20" ht="18" customHeight="1">
      <c r="A33" s="290"/>
      <c r="B33" s="296">
        <v>45651</v>
      </c>
      <c r="C33" s="301" t="s">
        <v>365</v>
      </c>
      <c r="D33" s="301" t="s">
        <v>365</v>
      </c>
      <c r="E33" s="310" t="s">
        <v>27</v>
      </c>
      <c r="F33" s="315"/>
      <c r="G33" s="315">
        <v>120000</v>
      </c>
      <c r="H33" s="318">
        <f t="shared" si="0"/>
        <v>6032657</v>
      </c>
      <c r="I33" s="321" t="s">
        <v>27</v>
      </c>
      <c r="J33" s="321" t="s">
        <v>342</v>
      </c>
      <c r="K33" s="301"/>
      <c r="L33" s="301"/>
      <c r="M33" s="301"/>
      <c r="N33" s="301"/>
      <c r="O33" s="330"/>
    </row>
    <row r="34" spans="1:20" ht="18" customHeight="1">
      <c r="A34" s="290"/>
      <c r="B34" s="296">
        <v>45651</v>
      </c>
      <c r="C34" s="301" t="s">
        <v>365</v>
      </c>
      <c r="D34" s="301" t="s">
        <v>365</v>
      </c>
      <c r="E34" s="310" t="s">
        <v>416</v>
      </c>
      <c r="F34" s="315"/>
      <c r="G34" s="315">
        <v>14328</v>
      </c>
      <c r="H34" s="318">
        <f t="shared" si="0"/>
        <v>6018329</v>
      </c>
      <c r="I34" s="321" t="s">
        <v>214</v>
      </c>
      <c r="J34" s="321" t="s">
        <v>869</v>
      </c>
      <c r="K34" s="301"/>
      <c r="L34" s="301"/>
      <c r="M34" s="301"/>
      <c r="N34" s="301"/>
      <c r="O34" s="330"/>
    </row>
    <row r="35" spans="1:20" ht="18" customHeight="1">
      <c r="A35" s="290"/>
      <c r="B35" s="296">
        <v>45651</v>
      </c>
      <c r="C35" s="301" t="s">
        <v>365</v>
      </c>
      <c r="D35" s="301" t="s">
        <v>365</v>
      </c>
      <c r="E35" s="310" t="s">
        <v>306</v>
      </c>
      <c r="F35" s="315"/>
      <c r="G35" s="315">
        <v>19800</v>
      </c>
      <c r="H35" s="318">
        <f t="shared" si="0"/>
        <v>5998529</v>
      </c>
      <c r="I35" s="321" t="s">
        <v>231</v>
      </c>
      <c r="J35" s="321" t="s">
        <v>218</v>
      </c>
      <c r="K35" s="301"/>
      <c r="L35" s="301"/>
      <c r="M35" s="301"/>
      <c r="N35" s="301"/>
      <c r="O35" s="330"/>
    </row>
    <row r="36" spans="1:20" ht="18" customHeight="1">
      <c r="A36" s="290"/>
      <c r="B36" s="296">
        <v>45651</v>
      </c>
      <c r="C36" s="301" t="s">
        <v>365</v>
      </c>
      <c r="D36" s="301" t="s">
        <v>365</v>
      </c>
      <c r="E36" s="310" t="s">
        <v>684</v>
      </c>
      <c r="F36" s="315"/>
      <c r="G36" s="315">
        <v>3259350</v>
      </c>
      <c r="H36" s="318">
        <f t="shared" si="0"/>
        <v>2739179</v>
      </c>
      <c r="I36" s="321" t="s">
        <v>102</v>
      </c>
      <c r="J36" s="321" t="s">
        <v>871</v>
      </c>
      <c r="K36" s="301"/>
      <c r="L36" s="301"/>
      <c r="M36" s="301"/>
      <c r="N36" s="301" t="s">
        <v>365</v>
      </c>
      <c r="O36" s="330"/>
    </row>
    <row r="37" spans="1:20" s="289" customFormat="1" ht="18" customHeight="1">
      <c r="A37" s="291"/>
      <c r="B37" s="296">
        <v>45651</v>
      </c>
      <c r="C37" s="301" t="s">
        <v>365</v>
      </c>
      <c r="D37" s="301" t="s">
        <v>365</v>
      </c>
      <c r="E37" s="310" t="s">
        <v>481</v>
      </c>
      <c r="F37" s="315"/>
      <c r="G37" s="315">
        <v>1000000</v>
      </c>
      <c r="H37" s="318">
        <f t="shared" si="0"/>
        <v>1739179</v>
      </c>
      <c r="I37" s="321" t="s">
        <v>481</v>
      </c>
      <c r="J37" s="321" t="s">
        <v>881</v>
      </c>
      <c r="K37" s="301"/>
      <c r="L37" s="301"/>
      <c r="M37" s="301"/>
      <c r="N37" s="301"/>
      <c r="O37" s="330"/>
      <c r="P37" s="21"/>
      <c r="Q37" s="21"/>
      <c r="R37" s="21"/>
      <c r="S37" s="21"/>
      <c r="T37" s="21"/>
    </row>
    <row r="38" spans="1:20" ht="18" customHeight="1">
      <c r="A38" s="290"/>
      <c r="B38" s="296">
        <v>45654</v>
      </c>
      <c r="C38" s="301" t="s">
        <v>365</v>
      </c>
      <c r="D38" s="301" t="s">
        <v>365</v>
      </c>
      <c r="E38" s="310" t="s">
        <v>351</v>
      </c>
      <c r="F38" s="315"/>
      <c r="G38" s="315">
        <v>32000</v>
      </c>
      <c r="H38" s="318">
        <f t="shared" si="0"/>
        <v>1707179</v>
      </c>
      <c r="I38" s="321" t="s">
        <v>882</v>
      </c>
      <c r="J38" s="321" t="s">
        <v>874</v>
      </c>
      <c r="K38" s="301" t="s">
        <v>365</v>
      </c>
      <c r="L38" s="301"/>
      <c r="M38" s="301"/>
      <c r="N38" s="301"/>
      <c r="O38" s="330"/>
    </row>
    <row r="39" spans="1:20" ht="18" customHeight="1">
      <c r="A39" s="290"/>
      <c r="B39" s="296">
        <v>45654</v>
      </c>
      <c r="C39" s="301" t="s">
        <v>365</v>
      </c>
      <c r="D39" s="301" t="s">
        <v>365</v>
      </c>
      <c r="E39" s="310" t="s">
        <v>351</v>
      </c>
      <c r="F39" s="315"/>
      <c r="G39" s="315">
        <v>29800</v>
      </c>
      <c r="H39" s="318">
        <f t="shared" si="0"/>
        <v>1677379</v>
      </c>
      <c r="I39" s="321" t="s">
        <v>315</v>
      </c>
      <c r="J39" s="321" t="s">
        <v>560</v>
      </c>
      <c r="K39" s="301" t="s">
        <v>365</v>
      </c>
      <c r="L39" s="301"/>
      <c r="M39" s="301"/>
      <c r="N39" s="301"/>
      <c r="O39" s="330"/>
    </row>
    <row r="40" spans="1:20" ht="18" customHeight="1">
      <c r="A40" s="292"/>
      <c r="B40" s="297">
        <v>45654</v>
      </c>
      <c r="C40" s="302" t="s">
        <v>365</v>
      </c>
      <c r="D40" s="302" t="s">
        <v>365</v>
      </c>
      <c r="E40" s="311" t="s">
        <v>351</v>
      </c>
      <c r="F40" s="316"/>
      <c r="G40" s="316">
        <v>5800</v>
      </c>
      <c r="H40" s="319">
        <f t="shared" si="0"/>
        <v>1671579</v>
      </c>
      <c r="I40" s="322" t="s">
        <v>598</v>
      </c>
      <c r="J40" s="322" t="s">
        <v>359</v>
      </c>
      <c r="K40" s="302" t="s">
        <v>365</v>
      </c>
      <c r="L40" s="302"/>
      <c r="M40" s="302"/>
      <c r="N40" s="302"/>
      <c r="O40" s="332"/>
    </row>
    <row r="41" spans="1:20" ht="18" customHeight="1">
      <c r="A41" s="290"/>
      <c r="B41" s="295">
        <v>45726</v>
      </c>
      <c r="C41" s="301"/>
      <c r="D41" s="301" t="s">
        <v>365</v>
      </c>
      <c r="E41" s="310" t="s">
        <v>374</v>
      </c>
      <c r="F41" s="314"/>
      <c r="G41" s="314">
        <v>200000</v>
      </c>
      <c r="H41" s="318">
        <f t="shared" si="0"/>
        <v>1471579</v>
      </c>
      <c r="I41" s="310" t="s">
        <v>876</v>
      </c>
      <c r="J41" s="310"/>
      <c r="K41" s="301"/>
      <c r="L41" s="301"/>
      <c r="M41" s="301"/>
      <c r="N41" s="301"/>
      <c r="O41" s="330"/>
    </row>
    <row r="42" spans="1:20" ht="18" customHeight="1">
      <c r="A42" s="290"/>
      <c r="B42" s="296">
        <v>45726</v>
      </c>
      <c r="C42" s="303"/>
      <c r="D42" s="301" t="s">
        <v>365</v>
      </c>
      <c r="E42" s="310" t="s">
        <v>680</v>
      </c>
      <c r="F42" s="315"/>
      <c r="G42" s="315">
        <v>180000</v>
      </c>
      <c r="H42" s="318">
        <f t="shared" si="0"/>
        <v>1291579</v>
      </c>
      <c r="I42" s="321" t="s">
        <v>764</v>
      </c>
      <c r="J42" s="321"/>
      <c r="K42" s="301"/>
      <c r="L42" s="301"/>
      <c r="M42" s="301"/>
      <c r="N42" s="301"/>
      <c r="O42" s="330"/>
    </row>
    <row r="43" spans="1:20" ht="18" customHeight="1">
      <c r="A43" s="290"/>
      <c r="B43" s="296">
        <v>45726</v>
      </c>
      <c r="C43" s="303"/>
      <c r="D43" s="301" t="s">
        <v>365</v>
      </c>
      <c r="E43" s="310" t="s">
        <v>110</v>
      </c>
      <c r="F43" s="315"/>
      <c r="G43" s="315">
        <v>300000</v>
      </c>
      <c r="H43" s="318">
        <f t="shared" si="0"/>
        <v>991579</v>
      </c>
      <c r="I43" s="321" t="s">
        <v>297</v>
      </c>
      <c r="J43" s="321" t="s">
        <v>883</v>
      </c>
      <c r="K43" s="301"/>
      <c r="L43" s="301"/>
      <c r="M43" s="301" t="s">
        <v>365</v>
      </c>
      <c r="N43" s="301"/>
      <c r="O43" s="330"/>
    </row>
    <row r="44" spans="1:20" ht="18" customHeight="1">
      <c r="A44" s="290"/>
      <c r="B44" s="296">
        <v>45726</v>
      </c>
      <c r="C44" s="303"/>
      <c r="D44" s="301" t="s">
        <v>365</v>
      </c>
      <c r="E44" s="310" t="s">
        <v>680</v>
      </c>
      <c r="F44" s="315"/>
      <c r="G44" s="315">
        <v>258000</v>
      </c>
      <c r="H44" s="318">
        <f t="shared" si="0"/>
        <v>733579</v>
      </c>
      <c r="I44" s="321" t="s">
        <v>855</v>
      </c>
      <c r="J44" s="321" t="s">
        <v>503</v>
      </c>
      <c r="K44" s="301"/>
      <c r="L44" s="301"/>
      <c r="M44" s="301"/>
      <c r="N44" s="301"/>
      <c r="O44" s="330"/>
    </row>
    <row r="45" spans="1:20" ht="18" customHeight="1">
      <c r="A45" s="290"/>
      <c r="B45" s="296">
        <v>45726</v>
      </c>
      <c r="C45" s="303"/>
      <c r="D45" s="301" t="s">
        <v>365</v>
      </c>
      <c r="E45" s="310" t="s">
        <v>680</v>
      </c>
      <c r="F45" s="315"/>
      <c r="G45" s="315">
        <v>232500</v>
      </c>
      <c r="H45" s="318">
        <f t="shared" si="0"/>
        <v>501079</v>
      </c>
      <c r="I45" s="321" t="s">
        <v>782</v>
      </c>
      <c r="J45" s="321" t="s">
        <v>871</v>
      </c>
      <c r="K45" s="301"/>
      <c r="L45" s="301"/>
      <c r="M45" s="301"/>
      <c r="N45" s="301"/>
      <c r="O45" s="330"/>
    </row>
    <row r="46" spans="1:20" ht="18" customHeight="1">
      <c r="A46" s="290"/>
      <c r="B46" s="296"/>
      <c r="C46" s="303"/>
      <c r="D46" s="301"/>
      <c r="E46" s="310"/>
      <c r="F46" s="315"/>
      <c r="G46" s="315"/>
      <c r="H46" s="318">
        <f t="shared" si="0"/>
        <v>501079</v>
      </c>
      <c r="I46" s="321"/>
      <c r="J46" s="321"/>
      <c r="K46" s="301"/>
      <c r="L46" s="301"/>
      <c r="M46" s="301"/>
      <c r="N46" s="301"/>
      <c r="O46" s="330"/>
    </row>
  </sheetData>
  <mergeCells count="8">
    <mergeCell ref="I2:J2"/>
    <mergeCell ref="B4:B5"/>
    <mergeCell ref="E4:E5"/>
    <mergeCell ref="F4:F5"/>
    <mergeCell ref="G4:G5"/>
    <mergeCell ref="H4:H5"/>
    <mergeCell ref="I4:I5"/>
    <mergeCell ref="J4:J5"/>
  </mergeCells>
  <phoneticPr fontId="5"/>
  <dataValidations count="1">
    <dataValidation type="list" allowBlank="1" showDropDown="0" showInputMessage="1" showErrorMessage="1" sqref="K6:N46 C6:C40 D6:D46">
      <formula1>"〇"</formula1>
    </dataValidation>
  </dataValidations>
  <pageMargins left="0.39370078740157477" right="0.39370078740157477" top="0.39370078740157477" bottom="0" header="0" footer="0"/>
  <pageSetup paperSize="9" scale="71" fitToWidth="1" fitToHeight="1" orientation="landscape" usePrinterDefaults="1" cellComments="asDisplayed" r:id="rId1"/>
  <headerFooter scaleWithDoc="0"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'【資料1】収支項目'!$C$4:$C$23</xm:f>
          </x14:formula1>
          <xm:sqref>E31:E46</xm:sqref>
        </x14:dataValidation>
        <x14:dataValidation type="list" allowBlank="1" showDropDown="0" showInputMessage="1" showErrorMessage="1">
          <x14:formula1>
            <xm:f>'【資料1】収支項目'!$C$4:$C$40</xm:f>
          </x14:formula1>
          <xm:sqref>E6:E30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196"/>
  <sheetViews>
    <sheetView showGridLines="0" view="pageBreakPreview" topLeftCell="A10" zoomScaleSheetLayoutView="100" workbookViewId="0">
      <selection activeCell="F30" sqref="F30"/>
    </sheetView>
  </sheetViews>
  <sheetFormatPr defaultRowHeight="15" customHeight="1"/>
  <cols>
    <col min="1" max="1" width="6.25" style="334" customWidth="1"/>
    <col min="2" max="2" width="19.375" style="334" customWidth="1"/>
    <col min="3" max="3" width="16.25" style="334" customWidth="1"/>
    <col min="4" max="4" width="35.25" style="334" bestFit="1" customWidth="1"/>
    <col min="5" max="5" width="6" style="334" customWidth="1"/>
    <col min="6" max="6" width="6.25" style="334" customWidth="1"/>
    <col min="7" max="7" width="19.375" style="334" customWidth="1"/>
    <col min="8" max="8" width="16.25" style="334" customWidth="1"/>
    <col min="9" max="9" width="37.25" style="334" bestFit="1" customWidth="1"/>
    <col min="10" max="10" width="1.75" style="334" customWidth="1"/>
    <col min="11" max="11" width="4" style="334" customWidth="1"/>
    <col min="12" max="12" width="3.75" style="335" customWidth="1"/>
    <col min="13" max="13" width="4.25" style="335" customWidth="1"/>
    <col min="14" max="14" width="14.25" style="336" customWidth="1"/>
    <col min="15" max="15" width="11.5" style="335" customWidth="1"/>
    <col min="16" max="16" width="3.625" style="335" customWidth="1"/>
    <col min="17" max="17" width="5.375" style="335" customWidth="1"/>
    <col min="18" max="18" width="10.875" style="337" customWidth="1"/>
    <col min="19" max="22" width="3.75" style="334" customWidth="1"/>
    <col min="23" max="23" width="5.375" style="334" customWidth="1"/>
    <col min="24" max="16384" width="9" style="334" customWidth="1"/>
  </cols>
  <sheetData>
    <row r="1" spans="1:23" ht="23.25" customHeight="1">
      <c r="C1" s="335" t="s">
        <v>50</v>
      </c>
      <c r="D1" s="383" t="str">
        <f>'1.入力表'!M3</f>
        <v>奥安来</v>
      </c>
      <c r="E1" s="404" t="s">
        <v>34</v>
      </c>
      <c r="F1" s="341" t="s">
        <v>294</v>
      </c>
      <c r="G1" s="372"/>
      <c r="H1" s="372"/>
      <c r="I1" s="399"/>
      <c r="M1" s="423" t="str">
        <f t="shared" ref="M1:O2" si="0">A3</f>
        <v>費目コード</v>
      </c>
      <c r="N1" s="434" t="str">
        <f t="shared" si="0"/>
        <v>費　　　目</v>
      </c>
      <c r="O1" s="444" t="str">
        <f t="shared" si="0"/>
        <v>支出金額(円）</v>
      </c>
      <c r="P1" s="451"/>
      <c r="Q1" s="451" t="s">
        <v>35</v>
      </c>
      <c r="R1" s="337" t="s">
        <v>369</v>
      </c>
    </row>
    <row r="2" spans="1:23" s="338" customFormat="1" ht="23.25" customHeight="1">
      <c r="A2" s="341" t="s">
        <v>283</v>
      </c>
      <c r="B2" s="334"/>
      <c r="C2" s="334"/>
      <c r="D2" s="334"/>
      <c r="E2" s="339"/>
      <c r="F2" s="342" t="s">
        <v>35</v>
      </c>
      <c r="G2" s="356" t="s">
        <v>28</v>
      </c>
      <c r="H2" s="380" t="s">
        <v>31</v>
      </c>
      <c r="I2" s="384" t="s">
        <v>30</v>
      </c>
      <c r="J2" s="334"/>
      <c r="K2" s="334"/>
      <c r="L2" s="335" t="s">
        <v>354</v>
      </c>
      <c r="M2" s="424">
        <f t="shared" si="0"/>
        <v>21</v>
      </c>
      <c r="N2" s="435" t="str">
        <f t="shared" si="0"/>
        <v>報償費・謝金</v>
      </c>
      <c r="O2" s="445">
        <f t="shared" si="0"/>
        <v>120000</v>
      </c>
      <c r="P2" s="451"/>
      <c r="Q2" s="334">
        <v>1</v>
      </c>
      <c r="R2" s="337">
        <f t="shared" ref="R2:R27" si="1">SUMIF($M$2:$M$196,Q2,$O$2:$O$196)</f>
        <v>160000</v>
      </c>
      <c r="T2" s="334"/>
      <c r="U2" s="334"/>
      <c r="V2" s="334"/>
      <c r="W2" s="334"/>
    </row>
    <row r="3" spans="1:23" s="339" customFormat="1" ht="23.25" customHeight="1">
      <c r="A3" s="342" t="s">
        <v>35</v>
      </c>
      <c r="B3" s="356" t="s">
        <v>28</v>
      </c>
      <c r="C3" s="373" t="s">
        <v>31</v>
      </c>
      <c r="D3" s="384" t="s">
        <v>30</v>
      </c>
      <c r="E3" s="340"/>
      <c r="F3" s="345">
        <v>1</v>
      </c>
      <c r="G3" s="363" t="s">
        <v>339</v>
      </c>
      <c r="H3" s="377"/>
      <c r="I3" s="400"/>
      <c r="J3" s="334"/>
      <c r="K3" s="334"/>
      <c r="L3" s="335" t="s">
        <v>356</v>
      </c>
      <c r="M3" s="425">
        <f t="shared" ref="M3:O11" si="2">A9</f>
        <v>2</v>
      </c>
      <c r="N3" s="436" t="str">
        <f t="shared" si="2"/>
        <v>小作料・賃借料</v>
      </c>
      <c r="O3" s="446">
        <f t="shared" si="2"/>
        <v>1000</v>
      </c>
      <c r="P3" s="451"/>
      <c r="Q3" s="334">
        <v>2</v>
      </c>
      <c r="R3" s="337">
        <f t="shared" si="1"/>
        <v>1000</v>
      </c>
      <c r="T3" s="334"/>
      <c r="U3" s="334"/>
      <c r="V3" s="334"/>
      <c r="W3" s="334"/>
    </row>
    <row r="4" spans="1:23" s="340" customFormat="1" ht="23.25" customHeight="1">
      <c r="A4" s="343">
        <v>21</v>
      </c>
      <c r="B4" s="357" t="s">
        <v>329</v>
      </c>
      <c r="C4" s="374">
        <v>120000</v>
      </c>
      <c r="D4" s="385" t="s">
        <v>226</v>
      </c>
      <c r="F4" s="346">
        <v>2</v>
      </c>
      <c r="G4" s="360" t="s">
        <v>299</v>
      </c>
      <c r="H4" s="378"/>
      <c r="I4" s="401"/>
      <c r="J4" s="334"/>
      <c r="K4" s="334"/>
      <c r="L4" s="335"/>
      <c r="M4" s="426">
        <f t="shared" si="2"/>
        <v>19</v>
      </c>
      <c r="N4" s="437" t="str">
        <f t="shared" si="2"/>
        <v>通信費</v>
      </c>
      <c r="O4" s="445">
        <f t="shared" si="2"/>
        <v>0</v>
      </c>
      <c r="P4" s="451"/>
      <c r="Q4" s="334">
        <v>3</v>
      </c>
      <c r="R4" s="337">
        <f t="shared" si="1"/>
        <v>0</v>
      </c>
      <c r="T4" s="334"/>
      <c r="U4" s="334"/>
      <c r="V4" s="334"/>
      <c r="W4" s="334"/>
    </row>
    <row r="5" spans="1:23" s="340" customFormat="1" ht="23.25" customHeight="1">
      <c r="A5" s="344" t="s">
        <v>51</v>
      </c>
      <c r="B5" s="358"/>
      <c r="C5" s="375">
        <f>IF(SUM(C4)=0,"　",SUM(C4))</f>
        <v>120000</v>
      </c>
      <c r="D5" s="386"/>
      <c r="F5" s="346">
        <v>4</v>
      </c>
      <c r="G5" s="360" t="s">
        <v>140</v>
      </c>
      <c r="H5" s="378"/>
      <c r="I5" s="401"/>
      <c r="J5" s="334"/>
      <c r="K5" s="334"/>
      <c r="L5" s="335"/>
      <c r="M5" s="426">
        <f t="shared" si="2"/>
        <v>20</v>
      </c>
      <c r="N5" s="437" t="str">
        <f t="shared" si="2"/>
        <v>交通費</v>
      </c>
      <c r="O5" s="445">
        <f t="shared" si="2"/>
        <v>0</v>
      </c>
      <c r="P5" s="451"/>
      <c r="Q5" s="334">
        <v>4</v>
      </c>
      <c r="R5" s="337">
        <f t="shared" si="1"/>
        <v>0</v>
      </c>
      <c r="T5" s="334"/>
      <c r="U5" s="334"/>
      <c r="V5" s="334"/>
      <c r="W5" s="334"/>
    </row>
    <row r="6" spans="1:23" s="340" customFormat="1" ht="23.25" customHeight="1">
      <c r="C6" s="376"/>
      <c r="D6" s="376"/>
      <c r="F6" s="346">
        <v>5</v>
      </c>
      <c r="G6" s="360" t="s">
        <v>82</v>
      </c>
      <c r="H6" s="378"/>
      <c r="I6" s="401"/>
      <c r="J6" s="334"/>
      <c r="K6" s="334"/>
      <c r="L6" s="335"/>
      <c r="M6" s="426">
        <f t="shared" si="2"/>
        <v>21</v>
      </c>
      <c r="N6" s="437" t="str">
        <f t="shared" si="2"/>
        <v>報償費・謝金</v>
      </c>
      <c r="O6" s="445">
        <f t="shared" si="2"/>
        <v>0</v>
      </c>
      <c r="P6" s="451"/>
      <c r="Q6" s="334">
        <v>5</v>
      </c>
      <c r="R6" s="337">
        <f t="shared" si="1"/>
        <v>50000</v>
      </c>
      <c r="T6" s="334"/>
      <c r="U6" s="334"/>
      <c r="V6" s="334"/>
      <c r="W6" s="334"/>
    </row>
    <row r="7" spans="1:23" s="340" customFormat="1" ht="23.25" customHeight="1">
      <c r="A7" s="341" t="s">
        <v>41</v>
      </c>
      <c r="B7" s="334"/>
      <c r="C7" s="334"/>
      <c r="D7" s="334"/>
      <c r="F7" s="346">
        <v>6</v>
      </c>
      <c r="G7" s="360" t="s">
        <v>304</v>
      </c>
      <c r="H7" s="378">
        <v>1000</v>
      </c>
      <c r="I7" s="401" t="s">
        <v>886</v>
      </c>
      <c r="J7" s="334"/>
      <c r="K7" s="334"/>
      <c r="L7" s="335"/>
      <c r="M7" s="426">
        <f t="shared" si="2"/>
        <v>23</v>
      </c>
      <c r="N7" s="437" t="str">
        <f t="shared" si="2"/>
        <v>雑費（事務費等）</v>
      </c>
      <c r="O7" s="445">
        <f t="shared" si="2"/>
        <v>0</v>
      </c>
      <c r="P7" s="451"/>
      <c r="Q7" s="334">
        <v>6</v>
      </c>
      <c r="R7" s="337">
        <f t="shared" si="1"/>
        <v>1000</v>
      </c>
      <c r="T7" s="334"/>
      <c r="U7" s="334"/>
      <c r="V7" s="334"/>
      <c r="W7" s="334"/>
    </row>
    <row r="8" spans="1:23" s="340" customFormat="1" ht="23.25" customHeight="1">
      <c r="A8" s="342" t="s">
        <v>35</v>
      </c>
      <c r="B8" s="356" t="s">
        <v>28</v>
      </c>
      <c r="C8" s="373" t="s">
        <v>31</v>
      </c>
      <c r="D8" s="384" t="s">
        <v>30</v>
      </c>
      <c r="F8" s="346">
        <v>7</v>
      </c>
      <c r="G8" s="364" t="s">
        <v>307</v>
      </c>
      <c r="H8" s="378"/>
      <c r="I8" s="401"/>
      <c r="J8" s="334"/>
      <c r="K8" s="334"/>
      <c r="L8" s="335"/>
      <c r="M8" s="426">
        <f t="shared" si="2"/>
        <v>24</v>
      </c>
      <c r="N8" s="437" t="str">
        <f t="shared" si="2"/>
        <v>茶菓代</v>
      </c>
      <c r="O8" s="445">
        <f t="shared" si="2"/>
        <v>700</v>
      </c>
      <c r="P8" s="451"/>
      <c r="Q8" s="334">
        <v>7</v>
      </c>
      <c r="R8" s="337">
        <f t="shared" si="1"/>
        <v>0</v>
      </c>
      <c r="T8" s="334"/>
      <c r="U8" s="334"/>
      <c r="V8" s="334"/>
      <c r="W8" s="334"/>
    </row>
    <row r="9" spans="1:23" s="340" customFormat="1" ht="23.25" customHeight="1">
      <c r="A9" s="345">
        <v>2</v>
      </c>
      <c r="B9" s="359" t="s">
        <v>299</v>
      </c>
      <c r="C9" s="377">
        <v>1000</v>
      </c>
      <c r="D9" s="387" t="s">
        <v>884</v>
      </c>
      <c r="F9" s="346">
        <v>8</v>
      </c>
      <c r="G9" s="361" t="s">
        <v>309</v>
      </c>
      <c r="H9" s="378"/>
      <c r="I9" s="401"/>
      <c r="J9" s="334"/>
      <c r="K9" s="334"/>
      <c r="L9" s="335"/>
      <c r="M9" s="426">
        <f t="shared" si="2"/>
        <v>25</v>
      </c>
      <c r="N9" s="437" t="str">
        <f t="shared" si="2"/>
        <v>食料費</v>
      </c>
      <c r="O9" s="445">
        <f t="shared" si="2"/>
        <v>11000</v>
      </c>
      <c r="P9" s="451"/>
      <c r="Q9" s="334">
        <v>8</v>
      </c>
      <c r="R9" s="337">
        <f t="shared" si="1"/>
        <v>0</v>
      </c>
      <c r="T9" s="334"/>
      <c r="U9" s="334"/>
      <c r="V9" s="334"/>
      <c r="W9" s="334"/>
    </row>
    <row r="10" spans="1:23" s="340" customFormat="1" ht="23.25" customHeight="1">
      <c r="A10" s="346">
        <v>19</v>
      </c>
      <c r="B10" s="360" t="s">
        <v>81</v>
      </c>
      <c r="C10" s="378"/>
      <c r="D10" s="388"/>
      <c r="F10" s="346">
        <v>9</v>
      </c>
      <c r="G10" s="360" t="s">
        <v>80</v>
      </c>
      <c r="H10" s="378"/>
      <c r="I10" s="401"/>
      <c r="J10" s="334"/>
      <c r="K10" s="334"/>
      <c r="L10" s="335"/>
      <c r="M10" s="426">
        <f t="shared" si="2"/>
        <v>26</v>
      </c>
      <c r="N10" s="437" t="str">
        <f t="shared" si="2"/>
        <v>その他</v>
      </c>
      <c r="O10" s="445">
        <f t="shared" si="2"/>
        <v>0</v>
      </c>
      <c r="P10" s="451"/>
      <c r="Q10" s="334">
        <v>9</v>
      </c>
      <c r="R10" s="337">
        <f t="shared" si="1"/>
        <v>0</v>
      </c>
      <c r="T10" s="334"/>
      <c r="U10" s="334"/>
      <c r="V10" s="334"/>
      <c r="W10" s="334"/>
    </row>
    <row r="11" spans="1:23" s="340" customFormat="1" ht="23.25" customHeight="1">
      <c r="A11" s="346">
        <v>20</v>
      </c>
      <c r="B11" s="360" t="s">
        <v>332</v>
      </c>
      <c r="C11" s="378"/>
      <c r="D11" s="388"/>
      <c r="F11" s="346">
        <v>10</v>
      </c>
      <c r="G11" s="364" t="s">
        <v>67</v>
      </c>
      <c r="H11" s="378"/>
      <c r="I11" s="401"/>
      <c r="J11" s="334"/>
      <c r="K11" s="334"/>
      <c r="L11" s="335"/>
      <c r="M11" s="427">
        <f t="shared" si="2"/>
        <v>0</v>
      </c>
      <c r="N11" s="438">
        <f t="shared" si="2"/>
        <v>0</v>
      </c>
      <c r="O11" s="447">
        <f t="shared" si="2"/>
        <v>0</v>
      </c>
      <c r="P11" s="451"/>
      <c r="Q11" s="334">
        <v>10</v>
      </c>
      <c r="R11" s="337">
        <f t="shared" si="1"/>
        <v>39800</v>
      </c>
      <c r="T11" s="334"/>
      <c r="U11" s="334"/>
      <c r="V11" s="334"/>
      <c r="W11" s="334"/>
    </row>
    <row r="12" spans="1:23" s="340" customFormat="1" ht="23.25" customHeight="1">
      <c r="A12" s="346">
        <v>21</v>
      </c>
      <c r="B12" s="361" t="s">
        <v>329</v>
      </c>
      <c r="C12" s="378"/>
      <c r="D12" s="388"/>
      <c r="F12" s="346">
        <v>11</v>
      </c>
      <c r="G12" s="360" t="s">
        <v>71</v>
      </c>
      <c r="H12" s="378"/>
      <c r="I12" s="401"/>
      <c r="J12" s="334"/>
      <c r="K12" s="334"/>
      <c r="L12" s="335" t="s">
        <v>265</v>
      </c>
      <c r="M12" s="425">
        <f t="shared" ref="M12:O27" si="3">A22</f>
        <v>1</v>
      </c>
      <c r="N12" s="436" t="str">
        <f t="shared" si="3"/>
        <v>雇人費（作業賃金）</v>
      </c>
      <c r="O12" s="446">
        <f t="shared" si="3"/>
        <v>120000</v>
      </c>
      <c r="P12" s="451"/>
      <c r="Q12" s="334">
        <v>11</v>
      </c>
      <c r="R12" s="337">
        <f t="shared" si="1"/>
        <v>70550</v>
      </c>
      <c r="T12" s="334"/>
      <c r="U12" s="334"/>
      <c r="V12" s="334"/>
      <c r="W12" s="334"/>
    </row>
    <row r="13" spans="1:23" s="340" customFormat="1" ht="23.25" customHeight="1">
      <c r="A13" s="346">
        <v>23</v>
      </c>
      <c r="B13" s="360" t="s">
        <v>347</v>
      </c>
      <c r="C13" s="378"/>
      <c r="D13" s="388"/>
      <c r="F13" s="346">
        <v>12</v>
      </c>
      <c r="G13" s="360" t="s">
        <v>346</v>
      </c>
      <c r="H13" s="378"/>
      <c r="I13" s="401"/>
      <c r="J13" s="334"/>
      <c r="K13" s="334"/>
      <c r="L13" s="335"/>
      <c r="M13" s="426">
        <f t="shared" si="3"/>
        <v>2</v>
      </c>
      <c r="N13" s="437" t="str">
        <f t="shared" si="3"/>
        <v>小作料・賃借料</v>
      </c>
      <c r="O13" s="445">
        <f t="shared" si="3"/>
        <v>0</v>
      </c>
      <c r="P13" s="451"/>
      <c r="Q13" s="334">
        <v>12</v>
      </c>
      <c r="R13" s="337">
        <f t="shared" si="1"/>
        <v>92000</v>
      </c>
      <c r="T13" s="334"/>
      <c r="U13" s="334"/>
      <c r="V13" s="334"/>
      <c r="W13" s="334"/>
    </row>
    <row r="14" spans="1:23" s="340" customFormat="1" ht="23.25" customHeight="1">
      <c r="A14" s="346">
        <v>24</v>
      </c>
      <c r="B14" s="360" t="s">
        <v>25</v>
      </c>
      <c r="C14" s="378">
        <v>700</v>
      </c>
      <c r="D14" s="388"/>
      <c r="F14" s="346">
        <v>13</v>
      </c>
      <c r="G14" s="361" t="s">
        <v>61</v>
      </c>
      <c r="H14" s="378"/>
      <c r="I14" s="401"/>
      <c r="J14" s="334"/>
      <c r="K14" s="334"/>
      <c r="L14" s="335"/>
      <c r="M14" s="426">
        <f t="shared" si="3"/>
        <v>4</v>
      </c>
      <c r="N14" s="437" t="str">
        <f t="shared" si="3"/>
        <v>利子割引料</v>
      </c>
      <c r="O14" s="445">
        <f t="shared" si="3"/>
        <v>0</v>
      </c>
      <c r="P14" s="451"/>
      <c r="Q14" s="334">
        <v>13</v>
      </c>
      <c r="R14" s="337">
        <f t="shared" si="1"/>
        <v>22625</v>
      </c>
      <c r="T14" s="334"/>
      <c r="U14" s="334"/>
      <c r="V14" s="334"/>
      <c r="W14" s="334"/>
    </row>
    <row r="15" spans="1:23" s="340" customFormat="1" ht="23.25" customHeight="1">
      <c r="A15" s="346">
        <v>25</v>
      </c>
      <c r="B15" s="360" t="s">
        <v>286</v>
      </c>
      <c r="C15" s="378">
        <v>11000</v>
      </c>
      <c r="D15" s="388" t="s">
        <v>885</v>
      </c>
      <c r="F15" s="346">
        <v>14</v>
      </c>
      <c r="G15" s="361" t="s">
        <v>63</v>
      </c>
      <c r="H15" s="378"/>
      <c r="I15" s="401"/>
      <c r="J15" s="334"/>
      <c r="K15" s="334"/>
      <c r="L15" s="335"/>
      <c r="M15" s="426">
        <f t="shared" si="3"/>
        <v>5</v>
      </c>
      <c r="N15" s="437" t="str">
        <f t="shared" si="3"/>
        <v>租税公課</v>
      </c>
      <c r="O15" s="445">
        <f t="shared" si="3"/>
        <v>50000</v>
      </c>
      <c r="P15" s="451"/>
      <c r="Q15" s="334">
        <v>14</v>
      </c>
      <c r="R15" s="337">
        <f t="shared" si="1"/>
        <v>180243</v>
      </c>
      <c r="T15" s="334"/>
      <c r="U15" s="334"/>
      <c r="V15" s="334"/>
      <c r="W15" s="334"/>
    </row>
    <row r="16" spans="1:23" s="340" customFormat="1" ht="23.25" customHeight="1">
      <c r="A16" s="346">
        <v>26</v>
      </c>
      <c r="B16" s="360" t="s">
        <v>24</v>
      </c>
      <c r="C16" s="378"/>
      <c r="D16" s="388"/>
      <c r="F16" s="346">
        <v>15</v>
      </c>
      <c r="G16" s="361" t="s">
        <v>318</v>
      </c>
      <c r="H16" s="378">
        <v>980</v>
      </c>
      <c r="I16" s="401" t="s">
        <v>431</v>
      </c>
      <c r="J16" s="334"/>
      <c r="K16" s="334"/>
      <c r="L16" s="335"/>
      <c r="M16" s="426">
        <f t="shared" si="3"/>
        <v>10</v>
      </c>
      <c r="N16" s="439" t="str">
        <f t="shared" si="3"/>
        <v>農具費</v>
      </c>
      <c r="O16" s="445">
        <f t="shared" si="3"/>
        <v>0</v>
      </c>
      <c r="P16" s="451"/>
      <c r="Q16" s="334">
        <v>15</v>
      </c>
      <c r="R16" s="337">
        <f t="shared" si="1"/>
        <v>980</v>
      </c>
      <c r="T16" s="334"/>
      <c r="U16" s="334"/>
      <c r="V16" s="334"/>
      <c r="W16" s="334"/>
    </row>
    <row r="17" spans="1:23" s="340" customFormat="1" ht="23.25" customHeight="1">
      <c r="A17" s="347"/>
      <c r="B17" s="362"/>
      <c r="C17" s="379"/>
      <c r="D17" s="389"/>
      <c r="F17" s="346">
        <v>16</v>
      </c>
      <c r="G17" s="361" t="s">
        <v>33</v>
      </c>
      <c r="H17" s="378">
        <v>12000</v>
      </c>
      <c r="I17" s="401" t="s">
        <v>587</v>
      </c>
      <c r="J17" s="334"/>
      <c r="K17" s="334"/>
      <c r="L17" s="335"/>
      <c r="M17" s="426">
        <f t="shared" si="3"/>
        <v>11</v>
      </c>
      <c r="N17" s="437" t="str">
        <f t="shared" si="3"/>
        <v>農薬衛生費</v>
      </c>
      <c r="O17" s="445">
        <f t="shared" si="3"/>
        <v>2550</v>
      </c>
      <c r="P17" s="451"/>
      <c r="Q17" s="334">
        <v>16</v>
      </c>
      <c r="R17" s="337">
        <f t="shared" si="1"/>
        <v>12000</v>
      </c>
      <c r="T17" s="334"/>
      <c r="U17" s="334"/>
      <c r="V17" s="334"/>
      <c r="W17" s="334"/>
    </row>
    <row r="18" spans="1:23" s="340" customFormat="1" ht="23.25" customHeight="1">
      <c r="A18" s="344" t="s">
        <v>55</v>
      </c>
      <c r="B18" s="358"/>
      <c r="C18" s="375">
        <f>IF(SUM(C9:C17)=0,"　",SUM(C9:C17))</f>
        <v>12700</v>
      </c>
      <c r="D18" s="390"/>
      <c r="F18" s="346">
        <v>17</v>
      </c>
      <c r="G18" s="360" t="s">
        <v>450</v>
      </c>
      <c r="H18" s="378"/>
      <c r="I18" s="401"/>
      <c r="J18" s="334"/>
      <c r="K18" s="334"/>
      <c r="L18" s="335"/>
      <c r="M18" s="426">
        <f t="shared" si="3"/>
        <v>12</v>
      </c>
      <c r="N18" s="437" t="str">
        <f t="shared" si="3"/>
        <v>諸材料費</v>
      </c>
      <c r="O18" s="445">
        <f t="shared" si="3"/>
        <v>35000</v>
      </c>
      <c r="P18" s="451"/>
      <c r="Q18" s="334">
        <v>17</v>
      </c>
      <c r="R18" s="337">
        <f t="shared" si="1"/>
        <v>5800</v>
      </c>
      <c r="T18" s="334"/>
      <c r="U18" s="334"/>
      <c r="V18" s="334"/>
      <c r="W18" s="334"/>
    </row>
    <row r="19" spans="1:23" s="340" customFormat="1" ht="23.25" customHeight="1">
      <c r="C19" s="376"/>
      <c r="D19" s="376"/>
      <c r="F19" s="346">
        <v>20</v>
      </c>
      <c r="G19" s="360" t="s">
        <v>332</v>
      </c>
      <c r="H19" s="378"/>
      <c r="I19" s="401"/>
      <c r="J19" s="334"/>
      <c r="K19" s="334"/>
      <c r="L19" s="335"/>
      <c r="M19" s="426">
        <f t="shared" si="3"/>
        <v>13</v>
      </c>
      <c r="N19" s="437" t="str">
        <f t="shared" si="3"/>
        <v>修繕費</v>
      </c>
      <c r="O19" s="445">
        <f t="shared" si="3"/>
        <v>2825</v>
      </c>
      <c r="P19" s="451"/>
      <c r="Q19" s="334">
        <v>18</v>
      </c>
      <c r="R19" s="337">
        <f t="shared" si="1"/>
        <v>80000</v>
      </c>
      <c r="T19" s="334"/>
      <c r="U19" s="334"/>
      <c r="V19" s="334"/>
      <c r="W19" s="334"/>
    </row>
    <row r="20" spans="1:23" s="340" customFormat="1" ht="23.25" customHeight="1">
      <c r="A20" s="341" t="s">
        <v>285</v>
      </c>
      <c r="B20" s="334"/>
      <c r="C20" s="334"/>
      <c r="D20" s="334"/>
      <c r="E20" s="334"/>
      <c r="F20" s="346">
        <v>21</v>
      </c>
      <c r="G20" s="360" t="s">
        <v>329</v>
      </c>
      <c r="H20" s="378"/>
      <c r="I20" s="401"/>
      <c r="J20" s="334"/>
      <c r="K20" s="334"/>
      <c r="L20" s="335"/>
      <c r="M20" s="426">
        <f t="shared" si="3"/>
        <v>14</v>
      </c>
      <c r="N20" s="437" t="str">
        <f t="shared" si="3"/>
        <v>動力光熱費</v>
      </c>
      <c r="O20" s="445">
        <f t="shared" si="3"/>
        <v>34120</v>
      </c>
      <c r="P20" s="451"/>
      <c r="Q20" s="334">
        <v>19</v>
      </c>
      <c r="R20" s="337">
        <f t="shared" si="1"/>
        <v>0</v>
      </c>
      <c r="T20" s="334"/>
      <c r="U20" s="334"/>
      <c r="V20" s="334"/>
      <c r="W20" s="334"/>
    </row>
    <row r="21" spans="1:23" s="338" customFormat="1" ht="23.25" customHeight="1">
      <c r="A21" s="342" t="s">
        <v>35</v>
      </c>
      <c r="B21" s="356" t="s">
        <v>28</v>
      </c>
      <c r="C21" s="373" t="s">
        <v>31</v>
      </c>
      <c r="D21" s="384" t="s">
        <v>30</v>
      </c>
      <c r="E21" s="339"/>
      <c r="F21" s="346">
        <v>22</v>
      </c>
      <c r="G21" s="361" t="s">
        <v>270</v>
      </c>
      <c r="H21" s="378"/>
      <c r="I21" s="401"/>
      <c r="J21" s="334"/>
      <c r="K21" s="334"/>
      <c r="L21" s="335"/>
      <c r="M21" s="426">
        <f t="shared" si="3"/>
        <v>15</v>
      </c>
      <c r="N21" s="437" t="str">
        <f t="shared" si="3"/>
        <v>作業用衣料費</v>
      </c>
      <c r="O21" s="445">
        <f t="shared" si="3"/>
        <v>0</v>
      </c>
      <c r="P21" s="451"/>
      <c r="Q21" s="334">
        <v>20</v>
      </c>
      <c r="R21" s="337">
        <f t="shared" si="1"/>
        <v>0</v>
      </c>
      <c r="T21" s="334"/>
      <c r="U21" s="334"/>
      <c r="V21" s="334"/>
      <c r="W21" s="334"/>
    </row>
    <row r="22" spans="1:23" s="339" customFormat="1" ht="23.25" customHeight="1">
      <c r="A22" s="345">
        <v>1</v>
      </c>
      <c r="B22" s="363" t="s">
        <v>339</v>
      </c>
      <c r="C22" s="377">
        <v>120000</v>
      </c>
      <c r="D22" s="387" t="s">
        <v>629</v>
      </c>
      <c r="E22" s="340"/>
      <c r="F22" s="346">
        <v>23</v>
      </c>
      <c r="G22" s="360" t="s">
        <v>347</v>
      </c>
      <c r="H22" s="378"/>
      <c r="I22" s="401"/>
      <c r="J22" s="334"/>
      <c r="K22" s="334"/>
      <c r="L22" s="335"/>
      <c r="M22" s="426">
        <f t="shared" si="3"/>
        <v>16</v>
      </c>
      <c r="N22" s="437" t="str">
        <f t="shared" si="3"/>
        <v>農業共済掛金等</v>
      </c>
      <c r="O22" s="445">
        <f t="shared" si="3"/>
        <v>0</v>
      </c>
      <c r="P22" s="451"/>
      <c r="Q22" s="334">
        <v>21</v>
      </c>
      <c r="R22" s="337">
        <f t="shared" si="1"/>
        <v>120000</v>
      </c>
      <c r="T22" s="334"/>
      <c r="U22" s="334"/>
      <c r="V22" s="334"/>
      <c r="W22" s="334"/>
    </row>
    <row r="23" spans="1:23" s="340" customFormat="1" ht="23.25" customHeight="1">
      <c r="A23" s="346">
        <v>2</v>
      </c>
      <c r="B23" s="360" t="s">
        <v>299</v>
      </c>
      <c r="C23" s="378"/>
      <c r="D23" s="388"/>
      <c r="F23" s="346">
        <v>24</v>
      </c>
      <c r="G23" s="360" t="s">
        <v>25</v>
      </c>
      <c r="H23" s="378"/>
      <c r="I23" s="401"/>
      <c r="J23" s="334"/>
      <c r="K23" s="334"/>
      <c r="L23" s="335"/>
      <c r="M23" s="426">
        <f t="shared" si="3"/>
        <v>23</v>
      </c>
      <c r="N23" s="437" t="str">
        <f t="shared" si="3"/>
        <v>雑費（事務費等）</v>
      </c>
      <c r="O23" s="445">
        <f t="shared" si="3"/>
        <v>0</v>
      </c>
      <c r="P23" s="451"/>
      <c r="Q23" s="334">
        <v>22</v>
      </c>
      <c r="R23" s="337">
        <f t="shared" si="1"/>
        <v>0</v>
      </c>
      <c r="T23" s="334"/>
      <c r="U23" s="334"/>
      <c r="V23" s="334"/>
      <c r="W23" s="334"/>
    </row>
    <row r="24" spans="1:23" s="340" customFormat="1" ht="23.25" customHeight="1">
      <c r="A24" s="346">
        <v>4</v>
      </c>
      <c r="B24" s="360" t="s">
        <v>140</v>
      </c>
      <c r="C24" s="378"/>
      <c r="D24" s="388"/>
      <c r="F24" s="346">
        <v>25</v>
      </c>
      <c r="G24" s="360" t="s">
        <v>335</v>
      </c>
      <c r="H24" s="378"/>
      <c r="I24" s="401"/>
      <c r="J24" s="334"/>
      <c r="K24" s="334"/>
      <c r="L24" s="335"/>
      <c r="M24" s="426">
        <f t="shared" si="3"/>
        <v>24</v>
      </c>
      <c r="N24" s="437" t="str">
        <f t="shared" si="3"/>
        <v>茶菓代</v>
      </c>
      <c r="O24" s="445">
        <f t="shared" si="3"/>
        <v>5860</v>
      </c>
      <c r="P24" s="451"/>
      <c r="Q24" s="334">
        <v>23</v>
      </c>
      <c r="R24" s="337">
        <f t="shared" si="1"/>
        <v>14328</v>
      </c>
      <c r="T24" s="334"/>
      <c r="U24" s="334"/>
      <c r="V24" s="334"/>
      <c r="W24" s="334"/>
    </row>
    <row r="25" spans="1:23" s="340" customFormat="1" ht="23.25" customHeight="1">
      <c r="A25" s="346">
        <v>5</v>
      </c>
      <c r="B25" s="360" t="s">
        <v>82</v>
      </c>
      <c r="C25" s="378">
        <v>50000</v>
      </c>
      <c r="D25" s="388" t="s">
        <v>284</v>
      </c>
      <c r="F25" s="346">
        <v>26</v>
      </c>
      <c r="G25" s="360" t="s">
        <v>24</v>
      </c>
      <c r="H25" s="378"/>
      <c r="I25" s="401"/>
      <c r="J25" s="334"/>
      <c r="K25" s="334"/>
      <c r="L25" s="335"/>
      <c r="M25" s="426">
        <f t="shared" si="3"/>
        <v>25</v>
      </c>
      <c r="N25" s="437" t="str">
        <f t="shared" si="3"/>
        <v>食料費</v>
      </c>
      <c r="O25" s="445">
        <f t="shared" si="3"/>
        <v>0</v>
      </c>
      <c r="P25" s="451"/>
      <c r="Q25" s="334">
        <v>24</v>
      </c>
      <c r="R25" s="337">
        <f t="shared" si="1"/>
        <v>7760</v>
      </c>
      <c r="T25" s="334"/>
      <c r="U25" s="334"/>
      <c r="V25" s="334"/>
      <c r="W25" s="334"/>
    </row>
    <row r="26" spans="1:23" s="340" customFormat="1" ht="23.25" customHeight="1">
      <c r="A26" s="346">
        <v>10</v>
      </c>
      <c r="B26" s="360" t="s">
        <v>67</v>
      </c>
      <c r="C26" s="378"/>
      <c r="D26" s="388"/>
      <c r="F26" s="347"/>
      <c r="G26" s="362"/>
      <c r="H26" s="379"/>
      <c r="I26" s="402"/>
      <c r="J26" s="334"/>
      <c r="K26" s="334"/>
      <c r="L26" s="335"/>
      <c r="M26" s="426">
        <f t="shared" si="3"/>
        <v>26</v>
      </c>
      <c r="N26" s="437" t="str">
        <f t="shared" si="3"/>
        <v>その他</v>
      </c>
      <c r="O26" s="445">
        <f t="shared" si="3"/>
        <v>0</v>
      </c>
      <c r="P26" s="451"/>
      <c r="Q26" s="334">
        <v>25</v>
      </c>
      <c r="R26" s="337">
        <f t="shared" si="1"/>
        <v>11000</v>
      </c>
      <c r="T26" s="334"/>
      <c r="U26" s="334"/>
      <c r="V26" s="334"/>
      <c r="W26" s="334"/>
    </row>
    <row r="27" spans="1:23" s="340" customFormat="1" ht="23.25" customHeight="1">
      <c r="A27" s="346">
        <v>11</v>
      </c>
      <c r="B27" s="364" t="s">
        <v>71</v>
      </c>
      <c r="C27" s="378">
        <v>2550</v>
      </c>
      <c r="D27" s="388" t="s">
        <v>764</v>
      </c>
      <c r="F27" s="354"/>
      <c r="G27" s="371" t="s">
        <v>87</v>
      </c>
      <c r="H27" s="375">
        <f>IF(SUM(H3:H26)=0,"　",SUM(H3:H26))</f>
        <v>13980</v>
      </c>
      <c r="I27" s="403"/>
      <c r="J27" s="334"/>
      <c r="K27" s="334"/>
      <c r="L27" s="335"/>
      <c r="M27" s="427">
        <f t="shared" si="3"/>
        <v>0</v>
      </c>
      <c r="N27" s="438">
        <f t="shared" si="3"/>
        <v>0</v>
      </c>
      <c r="O27" s="447">
        <f t="shared" si="3"/>
        <v>0</v>
      </c>
      <c r="P27" s="451"/>
      <c r="Q27" s="334">
        <v>26</v>
      </c>
      <c r="R27" s="337">
        <f t="shared" si="1"/>
        <v>0</v>
      </c>
      <c r="T27" s="334"/>
      <c r="U27" s="334"/>
      <c r="V27" s="334"/>
      <c r="W27" s="334"/>
    </row>
    <row r="28" spans="1:23" s="340" customFormat="1" ht="23.25" customHeight="1">
      <c r="A28" s="346">
        <v>12</v>
      </c>
      <c r="B28" s="360" t="s">
        <v>346</v>
      </c>
      <c r="C28" s="378">
        <v>35000</v>
      </c>
      <c r="D28" s="388" t="s">
        <v>748</v>
      </c>
      <c r="F28" s="353"/>
      <c r="H28" s="381"/>
      <c r="I28" s="372"/>
      <c r="J28" s="334"/>
      <c r="K28" s="334"/>
      <c r="L28" s="335" t="s">
        <v>343</v>
      </c>
      <c r="M28" s="425">
        <f t="shared" ref="M28:O44" si="4">A43</f>
        <v>1</v>
      </c>
      <c r="N28" s="436" t="str">
        <f t="shared" si="4"/>
        <v>雇人費（作業賃金）</v>
      </c>
      <c r="O28" s="446">
        <f t="shared" si="4"/>
        <v>10000</v>
      </c>
      <c r="P28" s="451"/>
      <c r="Q28" s="451" t="s">
        <v>216</v>
      </c>
      <c r="R28" s="337">
        <f>SUM(R2:R27)</f>
        <v>869086</v>
      </c>
      <c r="S28" s="334"/>
      <c r="T28" s="334"/>
      <c r="U28" s="334"/>
      <c r="V28" s="334"/>
      <c r="W28" s="334"/>
    </row>
    <row r="29" spans="1:23" s="340" customFormat="1" ht="23.25" customHeight="1">
      <c r="A29" s="346">
        <v>13</v>
      </c>
      <c r="B29" s="360" t="s">
        <v>61</v>
      </c>
      <c r="C29" s="378">
        <v>2825</v>
      </c>
      <c r="D29" s="388" t="s">
        <v>385</v>
      </c>
      <c r="F29" s="341" t="s">
        <v>430</v>
      </c>
      <c r="G29" s="372"/>
      <c r="H29" s="372"/>
      <c r="I29" s="399"/>
      <c r="J29" s="334"/>
      <c r="K29" s="334"/>
      <c r="L29" s="335"/>
      <c r="M29" s="426">
        <f t="shared" si="4"/>
        <v>4</v>
      </c>
      <c r="N29" s="437" t="str">
        <f t="shared" si="4"/>
        <v>利子割引料</v>
      </c>
      <c r="O29" s="445">
        <f t="shared" si="4"/>
        <v>0</v>
      </c>
      <c r="P29" s="451"/>
      <c r="Q29" s="451"/>
      <c r="R29" s="337"/>
      <c r="S29" s="334"/>
      <c r="T29" s="334"/>
      <c r="U29" s="334"/>
      <c r="V29" s="334"/>
      <c r="W29" s="334"/>
    </row>
    <row r="30" spans="1:23" s="340" customFormat="1" ht="23.25" customHeight="1">
      <c r="A30" s="346">
        <v>14</v>
      </c>
      <c r="B30" s="360" t="s">
        <v>63</v>
      </c>
      <c r="C30" s="378">
        <v>34120</v>
      </c>
      <c r="D30" s="388" t="s">
        <v>138</v>
      </c>
      <c r="F30" s="342" t="s">
        <v>35</v>
      </c>
      <c r="G30" s="356" t="s">
        <v>28</v>
      </c>
      <c r="H30" s="380" t="s">
        <v>31</v>
      </c>
      <c r="I30" s="384" t="s">
        <v>30</v>
      </c>
      <c r="J30" s="334"/>
      <c r="K30" s="334"/>
      <c r="L30" s="335"/>
      <c r="M30" s="426">
        <f t="shared" si="4"/>
        <v>6</v>
      </c>
      <c r="N30" s="437" t="str">
        <f t="shared" si="4"/>
        <v>種苗費</v>
      </c>
      <c r="O30" s="445">
        <f t="shared" si="4"/>
        <v>0</v>
      </c>
      <c r="P30" s="451"/>
      <c r="Q30" s="451"/>
      <c r="R30" s="337"/>
      <c r="S30" s="334"/>
      <c r="T30" s="334"/>
      <c r="U30" s="334"/>
      <c r="V30" s="334"/>
      <c r="W30" s="334"/>
    </row>
    <row r="31" spans="1:23" s="340" customFormat="1" ht="23.25" customHeight="1">
      <c r="A31" s="346">
        <v>15</v>
      </c>
      <c r="B31" s="361" t="s">
        <v>318</v>
      </c>
      <c r="C31" s="378"/>
      <c r="D31" s="388"/>
      <c r="F31" s="345">
        <v>2</v>
      </c>
      <c r="G31" s="359" t="s">
        <v>299</v>
      </c>
      <c r="H31" s="377"/>
      <c r="I31" s="400"/>
      <c r="J31" s="334"/>
      <c r="K31" s="334"/>
      <c r="L31" s="335"/>
      <c r="M31" s="426">
        <f t="shared" si="4"/>
        <v>8</v>
      </c>
      <c r="N31" s="439" t="str">
        <f t="shared" si="4"/>
        <v>肥料費</v>
      </c>
      <c r="O31" s="445">
        <f t="shared" si="4"/>
        <v>0</v>
      </c>
      <c r="P31" s="451"/>
      <c r="Q31" s="451"/>
      <c r="R31" s="337"/>
      <c r="S31" s="334"/>
      <c r="T31" s="334"/>
      <c r="U31" s="334"/>
      <c r="V31" s="334"/>
      <c r="W31" s="334"/>
    </row>
    <row r="32" spans="1:23" s="340" customFormat="1" ht="23.25" customHeight="1">
      <c r="A32" s="346">
        <v>16</v>
      </c>
      <c r="B32" s="361" t="s">
        <v>210</v>
      </c>
      <c r="C32" s="378"/>
      <c r="D32" s="388"/>
      <c r="F32" s="346">
        <v>5</v>
      </c>
      <c r="G32" s="360" t="s">
        <v>82</v>
      </c>
      <c r="H32" s="378"/>
      <c r="I32" s="401"/>
      <c r="J32" s="334"/>
      <c r="K32" s="334"/>
      <c r="L32" s="335"/>
      <c r="M32" s="426">
        <f t="shared" si="4"/>
        <v>10</v>
      </c>
      <c r="N32" s="437" t="str">
        <f t="shared" si="4"/>
        <v>農具費</v>
      </c>
      <c r="O32" s="445">
        <f t="shared" si="4"/>
        <v>0</v>
      </c>
      <c r="P32" s="451"/>
      <c r="Q32" s="451"/>
      <c r="R32" s="337"/>
      <c r="S32" s="334"/>
      <c r="T32" s="334"/>
      <c r="U32" s="334"/>
      <c r="V32" s="334"/>
      <c r="W32" s="334"/>
    </row>
    <row r="33" spans="1:23" s="340" customFormat="1" ht="23.25" customHeight="1">
      <c r="A33" s="346">
        <v>23</v>
      </c>
      <c r="B33" s="360" t="s">
        <v>347</v>
      </c>
      <c r="C33" s="378"/>
      <c r="D33" s="388"/>
      <c r="F33" s="346">
        <v>16</v>
      </c>
      <c r="G33" s="368" t="s">
        <v>33</v>
      </c>
      <c r="H33" s="378"/>
      <c r="I33" s="401"/>
      <c r="J33" s="334"/>
      <c r="K33" s="334"/>
      <c r="L33" s="335"/>
      <c r="M33" s="426">
        <f t="shared" si="4"/>
        <v>11</v>
      </c>
      <c r="N33" s="439" t="str">
        <f t="shared" si="4"/>
        <v>農薬衛生費</v>
      </c>
      <c r="O33" s="445">
        <f t="shared" si="4"/>
        <v>68000</v>
      </c>
      <c r="P33" s="451"/>
      <c r="Q33" s="451"/>
      <c r="R33" s="337"/>
      <c r="S33" s="334"/>
      <c r="T33" s="334"/>
      <c r="U33" s="334"/>
      <c r="V33" s="334"/>
      <c r="W33" s="334"/>
    </row>
    <row r="34" spans="1:23" s="340" customFormat="1" ht="23.25" customHeight="1">
      <c r="A34" s="346">
        <v>24</v>
      </c>
      <c r="B34" s="360" t="s">
        <v>25</v>
      </c>
      <c r="C34" s="378">
        <v>5860</v>
      </c>
      <c r="D34" s="388" t="s">
        <v>433</v>
      </c>
      <c r="F34" s="346">
        <v>17</v>
      </c>
      <c r="G34" s="361" t="s">
        <v>235</v>
      </c>
      <c r="H34" s="378"/>
      <c r="I34" s="401"/>
      <c r="J34" s="334"/>
      <c r="K34" s="334"/>
      <c r="L34" s="335"/>
      <c r="M34" s="426">
        <f t="shared" si="4"/>
        <v>12</v>
      </c>
      <c r="N34" s="437" t="str">
        <f t="shared" si="4"/>
        <v>諸材料費</v>
      </c>
      <c r="O34" s="445">
        <f t="shared" si="4"/>
        <v>0</v>
      </c>
      <c r="P34" s="451"/>
      <c r="Q34" s="451"/>
      <c r="R34" s="337"/>
      <c r="S34" s="334"/>
      <c r="T34" s="334"/>
      <c r="U34" s="334"/>
      <c r="V34" s="334"/>
      <c r="W34" s="334"/>
    </row>
    <row r="35" spans="1:23" s="340" customFormat="1" ht="23.25" customHeight="1">
      <c r="A35" s="346">
        <v>25</v>
      </c>
      <c r="B35" s="360" t="s">
        <v>286</v>
      </c>
      <c r="C35" s="378"/>
      <c r="D35" s="388"/>
      <c r="F35" s="346">
        <v>18</v>
      </c>
      <c r="G35" s="360" t="s">
        <v>319</v>
      </c>
      <c r="H35" s="378"/>
      <c r="I35" s="401"/>
      <c r="J35" s="334"/>
      <c r="K35" s="334"/>
      <c r="L35" s="335"/>
      <c r="M35" s="426">
        <f t="shared" si="4"/>
        <v>13</v>
      </c>
      <c r="N35" s="437" t="str">
        <f t="shared" si="4"/>
        <v>修繕費</v>
      </c>
      <c r="O35" s="445">
        <f t="shared" si="4"/>
        <v>0</v>
      </c>
      <c r="P35" s="451"/>
      <c r="Q35" s="451"/>
      <c r="R35" s="337"/>
      <c r="S35" s="334"/>
      <c r="T35" s="334"/>
      <c r="U35" s="334"/>
      <c r="V35" s="334"/>
      <c r="W35" s="334"/>
    </row>
    <row r="36" spans="1:23" s="340" customFormat="1" ht="23.25" customHeight="1">
      <c r="A36" s="346">
        <v>26</v>
      </c>
      <c r="B36" s="360" t="s">
        <v>24</v>
      </c>
      <c r="C36" s="378"/>
      <c r="D36" s="388"/>
      <c r="F36" s="346">
        <v>23</v>
      </c>
      <c r="G36" s="360" t="s">
        <v>347</v>
      </c>
      <c r="H36" s="378"/>
      <c r="I36" s="401"/>
      <c r="J36" s="334"/>
      <c r="K36" s="334"/>
      <c r="L36" s="335"/>
      <c r="M36" s="426">
        <f t="shared" si="4"/>
        <v>14</v>
      </c>
      <c r="N36" s="437" t="str">
        <f t="shared" si="4"/>
        <v>動力光熱費</v>
      </c>
      <c r="O36" s="445">
        <f t="shared" si="4"/>
        <v>43123</v>
      </c>
      <c r="P36" s="451"/>
      <c r="Q36" s="451"/>
      <c r="R36" s="337"/>
      <c r="S36" s="334"/>
      <c r="T36" s="334"/>
      <c r="U36" s="334"/>
      <c r="V36" s="334"/>
      <c r="W36" s="334"/>
    </row>
    <row r="37" spans="1:23" s="340" customFormat="1" ht="23.25" customHeight="1">
      <c r="A37" s="348"/>
      <c r="B37" s="365"/>
      <c r="C37" s="378"/>
      <c r="D37" s="388"/>
      <c r="F37" s="346">
        <v>26</v>
      </c>
      <c r="G37" s="360" t="s">
        <v>24</v>
      </c>
      <c r="H37" s="378"/>
      <c r="I37" s="401"/>
      <c r="J37" s="334"/>
      <c r="K37" s="334"/>
      <c r="L37" s="335"/>
      <c r="M37" s="426">
        <f t="shared" si="4"/>
        <v>15</v>
      </c>
      <c r="N37" s="437" t="str">
        <f t="shared" si="4"/>
        <v>作業用衣料費</v>
      </c>
      <c r="O37" s="445">
        <f t="shared" si="4"/>
        <v>0</v>
      </c>
      <c r="P37" s="451"/>
      <c r="Q37" s="451"/>
      <c r="R37" s="337"/>
      <c r="S37" s="334"/>
      <c r="T37" s="334"/>
      <c r="U37" s="334"/>
      <c r="V37" s="334"/>
      <c r="W37" s="334"/>
    </row>
    <row r="38" spans="1:23" s="340" customFormat="1" ht="23.25" customHeight="1">
      <c r="A38" s="349"/>
      <c r="B38" s="366"/>
      <c r="C38" s="374"/>
      <c r="D38" s="391"/>
      <c r="F38" s="347"/>
      <c r="G38" s="362"/>
      <c r="H38" s="379"/>
      <c r="I38" s="402"/>
      <c r="J38" s="334"/>
      <c r="K38" s="334"/>
      <c r="L38" s="335"/>
      <c r="M38" s="426">
        <f t="shared" si="4"/>
        <v>16</v>
      </c>
      <c r="N38" s="437" t="str">
        <f t="shared" si="4"/>
        <v>農業共済掛金等</v>
      </c>
      <c r="O38" s="445">
        <f t="shared" si="4"/>
        <v>0</v>
      </c>
      <c r="P38" s="451"/>
      <c r="Q38" s="451"/>
      <c r="R38" s="337"/>
      <c r="S38" s="334"/>
      <c r="T38" s="334"/>
      <c r="U38" s="334"/>
      <c r="V38" s="334"/>
      <c r="W38" s="334"/>
    </row>
    <row r="39" spans="1:23" s="340" customFormat="1" ht="23.25" customHeight="1">
      <c r="A39" s="344"/>
      <c r="B39" s="358" t="s">
        <v>298</v>
      </c>
      <c r="C39" s="375">
        <f>IF(SUM(C22:C38)=0,"　",SUM(C22:C38))</f>
        <v>250355</v>
      </c>
      <c r="D39" s="392"/>
      <c r="F39" s="354"/>
      <c r="G39" s="371" t="s">
        <v>454</v>
      </c>
      <c r="H39" s="375" t="str">
        <f>IF(SUM(H31:H38)=0,"　",SUM(H31:H38))</f>
        <v>　</v>
      </c>
      <c r="I39" s="403"/>
      <c r="J39" s="334"/>
      <c r="K39" s="334"/>
      <c r="L39" s="335"/>
      <c r="M39" s="426">
        <f t="shared" si="4"/>
        <v>18</v>
      </c>
      <c r="N39" s="437" t="str">
        <f t="shared" si="4"/>
        <v>土地改良費</v>
      </c>
      <c r="O39" s="445">
        <f t="shared" si="4"/>
        <v>80000</v>
      </c>
      <c r="P39" s="451"/>
      <c r="Q39" s="451"/>
      <c r="R39" s="337"/>
      <c r="S39" s="334"/>
      <c r="T39" s="334"/>
      <c r="U39" s="334"/>
      <c r="V39" s="334"/>
      <c r="W39" s="334"/>
    </row>
    <row r="40" spans="1:23" s="340" customFormat="1" ht="23.25" customHeight="1">
      <c r="C40" s="376"/>
      <c r="F40" s="353"/>
      <c r="H40" s="381"/>
      <c r="I40" s="372"/>
      <c r="J40" s="334"/>
      <c r="K40" s="334"/>
      <c r="L40" s="335"/>
      <c r="M40" s="426">
        <f t="shared" si="4"/>
        <v>23</v>
      </c>
      <c r="N40" s="437" t="str">
        <f t="shared" si="4"/>
        <v>雑費（事務費等）</v>
      </c>
      <c r="O40" s="445">
        <f t="shared" si="4"/>
        <v>0</v>
      </c>
      <c r="P40" s="451"/>
      <c r="Q40" s="451"/>
      <c r="R40" s="337"/>
      <c r="S40" s="334"/>
      <c r="T40" s="334"/>
      <c r="U40" s="334"/>
      <c r="V40" s="334"/>
      <c r="W40" s="334"/>
    </row>
    <row r="41" spans="1:23" s="340" customFormat="1" ht="23.25" customHeight="1">
      <c r="A41" s="350" t="s">
        <v>287</v>
      </c>
      <c r="B41" s="367"/>
      <c r="C41" s="367"/>
      <c r="D41" s="367"/>
      <c r="F41" s="341" t="s">
        <v>457</v>
      </c>
      <c r="H41" s="381"/>
      <c r="I41" s="372"/>
      <c r="J41" s="334"/>
      <c r="K41" s="334"/>
      <c r="L41" s="335"/>
      <c r="M41" s="426">
        <f t="shared" si="4"/>
        <v>24</v>
      </c>
      <c r="N41" s="437" t="str">
        <f t="shared" si="4"/>
        <v>茶菓代</v>
      </c>
      <c r="O41" s="445">
        <f t="shared" si="4"/>
        <v>0</v>
      </c>
      <c r="P41" s="451"/>
      <c r="Q41" s="451"/>
      <c r="R41" s="337"/>
      <c r="S41" s="334"/>
      <c r="T41" s="334"/>
      <c r="U41" s="334"/>
      <c r="V41" s="334"/>
      <c r="W41" s="334"/>
    </row>
    <row r="42" spans="1:23" s="340" customFormat="1" ht="23.25" customHeight="1">
      <c r="A42" s="342" t="s">
        <v>35</v>
      </c>
      <c r="B42" s="356" t="s">
        <v>28</v>
      </c>
      <c r="C42" s="373" t="s">
        <v>31</v>
      </c>
      <c r="D42" s="384" t="s">
        <v>30</v>
      </c>
      <c r="F42" s="342" t="s">
        <v>35</v>
      </c>
      <c r="G42" s="356" t="s">
        <v>28</v>
      </c>
      <c r="H42" s="380" t="s">
        <v>31</v>
      </c>
      <c r="I42" s="384" t="s">
        <v>30</v>
      </c>
      <c r="J42" s="334"/>
      <c r="K42" s="334"/>
      <c r="L42" s="335"/>
      <c r="M42" s="426">
        <f t="shared" si="4"/>
        <v>25</v>
      </c>
      <c r="N42" s="437" t="str">
        <f t="shared" si="4"/>
        <v>食料費</v>
      </c>
      <c r="O42" s="445">
        <f t="shared" si="4"/>
        <v>0</v>
      </c>
      <c r="P42" s="451"/>
      <c r="Q42" s="451"/>
      <c r="R42" s="337"/>
      <c r="S42" s="334"/>
      <c r="T42" s="334"/>
      <c r="U42" s="334"/>
      <c r="V42" s="334"/>
      <c r="W42" s="334"/>
    </row>
    <row r="43" spans="1:23" s="340" customFormat="1" ht="23.25" customHeight="1">
      <c r="A43" s="345">
        <v>1</v>
      </c>
      <c r="B43" s="363" t="s">
        <v>339</v>
      </c>
      <c r="C43" s="377">
        <v>10000</v>
      </c>
      <c r="D43" s="387" t="s">
        <v>847</v>
      </c>
      <c r="F43" s="345">
        <v>19</v>
      </c>
      <c r="G43" s="359" t="s">
        <v>327</v>
      </c>
      <c r="H43" s="377"/>
      <c r="I43" s="400"/>
      <c r="J43" s="334"/>
      <c r="K43" s="334"/>
      <c r="L43" s="335"/>
      <c r="M43" s="426">
        <f t="shared" si="4"/>
        <v>26</v>
      </c>
      <c r="N43" s="437" t="str">
        <f t="shared" si="4"/>
        <v>その他</v>
      </c>
      <c r="O43" s="445">
        <f t="shared" si="4"/>
        <v>0</v>
      </c>
      <c r="P43" s="451"/>
      <c r="Q43" s="451"/>
      <c r="R43" s="337"/>
      <c r="S43" s="334"/>
      <c r="T43" s="334"/>
      <c r="U43" s="334"/>
      <c r="V43" s="334"/>
      <c r="W43" s="334"/>
    </row>
    <row r="44" spans="1:23" s="340" customFormat="1" ht="23.25" customHeight="1">
      <c r="A44" s="346">
        <v>4</v>
      </c>
      <c r="B44" s="360" t="s">
        <v>140</v>
      </c>
      <c r="C44" s="378"/>
      <c r="D44" s="388"/>
      <c r="F44" s="346">
        <v>20</v>
      </c>
      <c r="G44" s="361" t="s">
        <v>332</v>
      </c>
      <c r="H44" s="378"/>
      <c r="I44" s="401"/>
      <c r="J44" s="334"/>
      <c r="K44" s="334"/>
      <c r="L44" s="335"/>
      <c r="M44" s="427">
        <f t="shared" si="4"/>
        <v>0</v>
      </c>
      <c r="N44" s="438">
        <f t="shared" si="4"/>
        <v>0</v>
      </c>
      <c r="O44" s="447">
        <f t="shared" si="4"/>
        <v>0</v>
      </c>
      <c r="P44" s="451"/>
      <c r="Q44" s="451"/>
      <c r="R44" s="337"/>
      <c r="S44" s="334"/>
      <c r="T44" s="334"/>
      <c r="U44" s="334"/>
      <c r="V44" s="334"/>
      <c r="W44" s="334"/>
    </row>
    <row r="45" spans="1:23" s="340" customFormat="1" ht="23.25" customHeight="1">
      <c r="A45" s="346">
        <v>6</v>
      </c>
      <c r="B45" s="360" t="s">
        <v>304</v>
      </c>
      <c r="C45" s="378"/>
      <c r="D45" s="388"/>
      <c r="F45" s="346">
        <v>21</v>
      </c>
      <c r="G45" s="360" t="s">
        <v>348</v>
      </c>
      <c r="H45" s="378"/>
      <c r="I45" s="401"/>
      <c r="J45" s="334"/>
      <c r="K45" s="334"/>
      <c r="L45" s="335" t="s">
        <v>358</v>
      </c>
      <c r="M45" s="425">
        <f t="shared" ref="M45:O57" si="5">A64</f>
        <v>1</v>
      </c>
      <c r="N45" s="436" t="str">
        <f t="shared" si="5"/>
        <v>雇人費（作業賃金）</v>
      </c>
      <c r="O45" s="446">
        <f t="shared" si="5"/>
        <v>30000</v>
      </c>
      <c r="P45" s="451"/>
      <c r="Q45" s="451"/>
      <c r="R45" s="337"/>
      <c r="S45" s="334"/>
      <c r="T45" s="334"/>
      <c r="U45" s="334"/>
      <c r="V45" s="334"/>
      <c r="W45" s="334"/>
    </row>
    <row r="46" spans="1:23" s="340" customFormat="1" ht="23.25" customHeight="1">
      <c r="A46" s="346">
        <v>8</v>
      </c>
      <c r="B46" s="360" t="s">
        <v>309</v>
      </c>
      <c r="C46" s="378"/>
      <c r="D46" s="388"/>
      <c r="F46" s="346">
        <v>23</v>
      </c>
      <c r="G46" s="360" t="s">
        <v>347</v>
      </c>
      <c r="H46" s="378"/>
      <c r="I46" s="401"/>
      <c r="J46" s="334"/>
      <c r="K46" s="334"/>
      <c r="L46" s="335"/>
      <c r="M46" s="426">
        <f t="shared" si="5"/>
        <v>2</v>
      </c>
      <c r="N46" s="437" t="str">
        <f t="shared" si="5"/>
        <v>小作料・賃借料</v>
      </c>
      <c r="O46" s="445">
        <f t="shared" si="5"/>
        <v>0</v>
      </c>
      <c r="P46" s="451"/>
      <c r="Q46" s="451"/>
      <c r="R46" s="337"/>
      <c r="S46" s="334"/>
      <c r="T46" s="334"/>
      <c r="U46" s="334"/>
      <c r="V46" s="334"/>
      <c r="W46" s="334"/>
    </row>
    <row r="47" spans="1:23" s="340" customFormat="1" ht="23.25" customHeight="1">
      <c r="A47" s="346">
        <v>10</v>
      </c>
      <c r="B47" s="368" t="s">
        <v>67</v>
      </c>
      <c r="C47" s="378"/>
      <c r="D47" s="388"/>
      <c r="F47" s="346">
        <v>26</v>
      </c>
      <c r="G47" s="360" t="s">
        <v>24</v>
      </c>
      <c r="H47" s="378"/>
      <c r="I47" s="401"/>
      <c r="J47" s="334"/>
      <c r="K47" s="334"/>
      <c r="L47" s="335"/>
      <c r="M47" s="426">
        <f t="shared" si="5"/>
        <v>4</v>
      </c>
      <c r="N47" s="437" t="str">
        <f t="shared" si="5"/>
        <v>利子割引料</v>
      </c>
      <c r="O47" s="445">
        <f t="shared" si="5"/>
        <v>0</v>
      </c>
      <c r="P47" s="451"/>
      <c r="Q47" s="451"/>
      <c r="R47" s="337"/>
      <c r="S47" s="334"/>
      <c r="T47" s="334"/>
      <c r="U47" s="334"/>
      <c r="V47" s="334"/>
      <c r="W47" s="334"/>
    </row>
    <row r="48" spans="1:23" s="340" customFormat="1" ht="23.25" customHeight="1">
      <c r="A48" s="346">
        <v>11</v>
      </c>
      <c r="B48" s="360" t="s">
        <v>71</v>
      </c>
      <c r="C48" s="378">
        <v>68000</v>
      </c>
      <c r="D48" s="388" t="s">
        <v>513</v>
      </c>
      <c r="F48" s="347"/>
      <c r="G48" s="362"/>
      <c r="H48" s="379"/>
      <c r="I48" s="402"/>
      <c r="J48" s="334"/>
      <c r="K48" s="334"/>
      <c r="L48" s="335"/>
      <c r="M48" s="426">
        <f t="shared" si="5"/>
        <v>12</v>
      </c>
      <c r="N48" s="437" t="str">
        <f t="shared" si="5"/>
        <v>諸材料費</v>
      </c>
      <c r="O48" s="445">
        <f t="shared" si="5"/>
        <v>25000</v>
      </c>
      <c r="P48" s="451"/>
      <c r="Q48" s="451"/>
      <c r="R48" s="337"/>
      <c r="S48" s="334"/>
      <c r="T48" s="334"/>
      <c r="U48" s="334"/>
      <c r="V48" s="334"/>
      <c r="W48" s="334"/>
    </row>
    <row r="49" spans="1:23" s="340" customFormat="1" ht="23.25" customHeight="1">
      <c r="A49" s="346">
        <v>12</v>
      </c>
      <c r="B49" s="364" t="s">
        <v>346</v>
      </c>
      <c r="C49" s="378"/>
      <c r="D49" s="388"/>
      <c r="F49" s="354"/>
      <c r="G49" s="371" t="s">
        <v>437</v>
      </c>
      <c r="H49" s="375" t="str">
        <f>IF(SUM(H43:H48)=0,"　",SUM(H43:H48))</f>
        <v>　</v>
      </c>
      <c r="I49" s="403"/>
      <c r="J49" s="334"/>
      <c r="K49" s="334"/>
      <c r="L49" s="335"/>
      <c r="M49" s="426">
        <f t="shared" si="5"/>
        <v>14</v>
      </c>
      <c r="N49" s="437" t="str">
        <f t="shared" si="5"/>
        <v>動力光熱費</v>
      </c>
      <c r="O49" s="445">
        <f t="shared" si="5"/>
        <v>0</v>
      </c>
      <c r="P49" s="451"/>
      <c r="Q49" s="451"/>
      <c r="R49" s="337"/>
      <c r="S49" s="334"/>
      <c r="T49" s="334"/>
      <c r="U49" s="334"/>
      <c r="V49" s="334"/>
      <c r="W49" s="334"/>
    </row>
    <row r="50" spans="1:23" s="340" customFormat="1" ht="23.25" customHeight="1">
      <c r="A50" s="346">
        <v>13</v>
      </c>
      <c r="B50" s="361" t="s">
        <v>61</v>
      </c>
      <c r="C50" s="378"/>
      <c r="D50" s="388"/>
      <c r="F50" s="353"/>
      <c r="H50" s="381"/>
      <c r="I50" s="372"/>
      <c r="J50" s="334"/>
      <c r="K50" s="334"/>
      <c r="L50" s="335"/>
      <c r="M50" s="426">
        <f t="shared" si="5"/>
        <v>15</v>
      </c>
      <c r="N50" s="437" t="str">
        <f t="shared" si="5"/>
        <v>作業用衣料費</v>
      </c>
      <c r="O50" s="445">
        <f t="shared" si="5"/>
        <v>0</v>
      </c>
      <c r="P50" s="451"/>
      <c r="Q50" s="451"/>
      <c r="R50" s="337"/>
      <c r="S50" s="334"/>
      <c r="T50" s="334"/>
      <c r="U50" s="334"/>
      <c r="V50" s="334"/>
      <c r="W50" s="334"/>
    </row>
    <row r="51" spans="1:23" s="340" customFormat="1" ht="23.25" customHeight="1">
      <c r="A51" s="346">
        <v>14</v>
      </c>
      <c r="B51" s="361" t="s">
        <v>63</v>
      </c>
      <c r="C51" s="378">
        <v>43123</v>
      </c>
      <c r="D51" s="388" t="s">
        <v>138</v>
      </c>
      <c r="E51" s="334"/>
      <c r="F51" s="334"/>
      <c r="G51" s="334"/>
      <c r="H51" s="334"/>
      <c r="I51" s="334"/>
      <c r="J51" s="334"/>
      <c r="K51" s="334"/>
      <c r="L51" s="335"/>
      <c r="M51" s="426">
        <f t="shared" si="5"/>
        <v>16</v>
      </c>
      <c r="N51" s="437" t="str">
        <f t="shared" si="5"/>
        <v>農業共済掛金等</v>
      </c>
      <c r="O51" s="445">
        <f t="shared" si="5"/>
        <v>0</v>
      </c>
      <c r="P51" s="451"/>
      <c r="Q51" s="451"/>
      <c r="R51" s="337"/>
      <c r="S51" s="334"/>
      <c r="T51" s="334"/>
      <c r="U51" s="334"/>
      <c r="V51" s="334"/>
      <c r="W51" s="334"/>
    </row>
    <row r="52" spans="1:23" ht="23.25" customHeight="1">
      <c r="A52" s="346">
        <v>15</v>
      </c>
      <c r="B52" s="361" t="s">
        <v>318</v>
      </c>
      <c r="C52" s="378"/>
      <c r="D52" s="388"/>
      <c r="M52" s="426">
        <f t="shared" si="5"/>
        <v>21</v>
      </c>
      <c r="N52" s="437" t="str">
        <f t="shared" si="5"/>
        <v>報償費・謝金</v>
      </c>
      <c r="O52" s="445">
        <f t="shared" si="5"/>
        <v>0</v>
      </c>
      <c r="P52" s="451"/>
      <c r="Q52" s="451"/>
    </row>
    <row r="53" spans="1:23" ht="23.25" customHeight="1">
      <c r="A53" s="346">
        <v>16</v>
      </c>
      <c r="B53" s="361" t="s">
        <v>210</v>
      </c>
      <c r="C53" s="378"/>
      <c r="D53" s="388"/>
      <c r="M53" s="426">
        <f t="shared" si="5"/>
        <v>23</v>
      </c>
      <c r="N53" s="437" t="str">
        <f t="shared" si="5"/>
        <v>雑費（事務費等）</v>
      </c>
      <c r="O53" s="445">
        <f t="shared" si="5"/>
        <v>0</v>
      </c>
      <c r="P53" s="451"/>
      <c r="Q53" s="451"/>
    </row>
    <row r="54" spans="1:23" ht="23.25" customHeight="1">
      <c r="A54" s="346">
        <v>18</v>
      </c>
      <c r="B54" s="360" t="s">
        <v>319</v>
      </c>
      <c r="C54" s="378">
        <v>80000</v>
      </c>
      <c r="D54" s="388" t="s">
        <v>538</v>
      </c>
      <c r="M54" s="426">
        <f t="shared" si="5"/>
        <v>24</v>
      </c>
      <c r="N54" s="437" t="str">
        <f t="shared" si="5"/>
        <v>茶菓代</v>
      </c>
      <c r="O54" s="445">
        <f t="shared" si="5"/>
        <v>1200</v>
      </c>
      <c r="P54" s="451"/>
      <c r="Q54" s="451"/>
    </row>
    <row r="55" spans="1:23" ht="23.25" customHeight="1">
      <c r="A55" s="346">
        <v>23</v>
      </c>
      <c r="B55" s="360" t="s">
        <v>347</v>
      </c>
      <c r="C55" s="378"/>
      <c r="D55" s="388"/>
      <c r="M55" s="426">
        <f t="shared" si="5"/>
        <v>25</v>
      </c>
      <c r="N55" s="437" t="str">
        <f t="shared" si="5"/>
        <v>食料費</v>
      </c>
      <c r="O55" s="445">
        <f t="shared" si="5"/>
        <v>0</v>
      </c>
      <c r="P55" s="451"/>
      <c r="Q55" s="451"/>
    </row>
    <row r="56" spans="1:23" ht="23.25" customHeight="1">
      <c r="A56" s="346">
        <v>24</v>
      </c>
      <c r="B56" s="360" t="s">
        <v>25</v>
      </c>
      <c r="C56" s="378"/>
      <c r="D56" s="388"/>
      <c r="M56" s="426">
        <f t="shared" si="5"/>
        <v>26</v>
      </c>
      <c r="N56" s="437" t="str">
        <f t="shared" si="5"/>
        <v>その他</v>
      </c>
      <c r="O56" s="445">
        <f t="shared" si="5"/>
        <v>0</v>
      </c>
      <c r="P56" s="451"/>
      <c r="Q56" s="451"/>
    </row>
    <row r="57" spans="1:23" ht="23.25" customHeight="1">
      <c r="A57" s="346">
        <v>25</v>
      </c>
      <c r="B57" s="360" t="s">
        <v>286</v>
      </c>
      <c r="C57" s="378"/>
      <c r="D57" s="388"/>
      <c r="M57" s="427">
        <f t="shared" si="5"/>
        <v>0</v>
      </c>
      <c r="N57" s="438">
        <f t="shared" si="5"/>
        <v>0</v>
      </c>
      <c r="O57" s="447">
        <f t="shared" si="5"/>
        <v>0</v>
      </c>
      <c r="P57" s="451"/>
      <c r="Q57" s="451"/>
    </row>
    <row r="58" spans="1:23" ht="23.25" customHeight="1">
      <c r="A58" s="346">
        <v>26</v>
      </c>
      <c r="B58" s="360" t="s">
        <v>24</v>
      </c>
      <c r="C58" s="378"/>
      <c r="D58" s="388"/>
      <c r="L58" s="335" t="s">
        <v>360</v>
      </c>
      <c r="M58" s="425">
        <f t="shared" ref="M58:O69" si="6">A81</f>
        <v>1</v>
      </c>
      <c r="N58" s="436" t="str">
        <f t="shared" si="6"/>
        <v>雇人費（作業賃金）</v>
      </c>
      <c r="O58" s="446">
        <f t="shared" si="6"/>
        <v>0</v>
      </c>
      <c r="P58" s="451"/>
      <c r="Q58" s="451"/>
    </row>
    <row r="59" spans="1:23" ht="23.25" customHeight="1">
      <c r="A59" s="348"/>
      <c r="B59" s="365"/>
      <c r="C59" s="378"/>
      <c r="D59" s="388"/>
      <c r="M59" s="426">
        <f t="shared" si="6"/>
        <v>2</v>
      </c>
      <c r="N59" s="437" t="str">
        <f t="shared" si="6"/>
        <v>小作料・賃借料</v>
      </c>
      <c r="O59" s="445">
        <f t="shared" si="6"/>
        <v>0</v>
      </c>
      <c r="P59" s="451"/>
      <c r="Q59" s="451"/>
    </row>
    <row r="60" spans="1:23" ht="23.25" customHeight="1">
      <c r="A60" s="349"/>
      <c r="B60" s="366"/>
      <c r="C60" s="374"/>
      <c r="D60" s="391"/>
      <c r="M60" s="426">
        <f t="shared" si="6"/>
        <v>4</v>
      </c>
      <c r="N60" s="437" t="str">
        <f t="shared" si="6"/>
        <v>利子割引料</v>
      </c>
      <c r="O60" s="445">
        <f t="shared" si="6"/>
        <v>0</v>
      </c>
      <c r="P60" s="451"/>
      <c r="Q60" s="451"/>
    </row>
    <row r="61" spans="1:23" ht="23.25" customHeight="1">
      <c r="A61" s="351"/>
      <c r="B61" s="358" t="s">
        <v>649</v>
      </c>
      <c r="C61" s="375">
        <f>IF(SUM(C43:C60)=0,"　",SUM(C43:C60))</f>
        <v>201123</v>
      </c>
      <c r="D61" s="393"/>
      <c r="M61" s="426">
        <f t="shared" si="6"/>
        <v>5</v>
      </c>
      <c r="N61" s="437" t="str">
        <f t="shared" si="6"/>
        <v>租税公課</v>
      </c>
      <c r="O61" s="445">
        <f t="shared" si="6"/>
        <v>0</v>
      </c>
      <c r="P61" s="451"/>
      <c r="Q61" s="451"/>
    </row>
    <row r="62" spans="1:23" ht="23.25" customHeight="1">
      <c r="A62" s="341" t="s">
        <v>288</v>
      </c>
      <c r="C62" s="337"/>
      <c r="F62" s="405" t="s">
        <v>711</v>
      </c>
      <c r="G62" s="369"/>
      <c r="H62" s="381"/>
      <c r="I62" s="372"/>
      <c r="M62" s="426">
        <f t="shared" si="6"/>
        <v>10</v>
      </c>
      <c r="N62" s="437" t="str">
        <f t="shared" si="6"/>
        <v>農具費</v>
      </c>
      <c r="O62" s="445">
        <f t="shared" si="6"/>
        <v>39800</v>
      </c>
      <c r="P62" s="451"/>
      <c r="Q62" s="451"/>
    </row>
    <row r="63" spans="1:23" ht="23.25" customHeight="1">
      <c r="A63" s="342" t="s">
        <v>35</v>
      </c>
      <c r="B63" s="356" t="s">
        <v>28</v>
      </c>
      <c r="C63" s="380" t="s">
        <v>31</v>
      </c>
      <c r="D63" s="384" t="s">
        <v>30</v>
      </c>
      <c r="F63" s="342" t="s">
        <v>35</v>
      </c>
      <c r="G63" s="356" t="s">
        <v>28</v>
      </c>
      <c r="H63" s="380" t="s">
        <v>31</v>
      </c>
      <c r="I63" s="419" t="s">
        <v>30</v>
      </c>
      <c r="M63" s="426">
        <f t="shared" si="6"/>
        <v>12</v>
      </c>
      <c r="N63" s="437" t="str">
        <f t="shared" si="6"/>
        <v>諸材料費</v>
      </c>
      <c r="O63" s="445">
        <f t="shared" si="6"/>
        <v>0</v>
      </c>
      <c r="P63" s="451"/>
      <c r="Q63" s="451"/>
    </row>
    <row r="64" spans="1:23" ht="23.25" customHeight="1">
      <c r="A64" s="345">
        <v>1</v>
      </c>
      <c r="B64" s="363" t="s">
        <v>339</v>
      </c>
      <c r="C64" s="377">
        <v>30000</v>
      </c>
      <c r="D64" s="394" t="s">
        <v>887</v>
      </c>
      <c r="F64" s="406">
        <v>1</v>
      </c>
      <c r="G64" s="363" t="s">
        <v>323</v>
      </c>
      <c r="H64" s="377"/>
      <c r="I64" s="400"/>
      <c r="M64" s="426">
        <f t="shared" si="6"/>
        <v>13</v>
      </c>
      <c r="N64" s="437" t="str">
        <f t="shared" si="6"/>
        <v>修繕費</v>
      </c>
      <c r="O64" s="445">
        <f t="shared" si="6"/>
        <v>0</v>
      </c>
      <c r="P64" s="451"/>
      <c r="Q64" s="451"/>
    </row>
    <row r="65" spans="1:17" ht="23.25" customHeight="1">
      <c r="A65" s="346">
        <v>2</v>
      </c>
      <c r="B65" s="360" t="s">
        <v>299</v>
      </c>
      <c r="C65" s="378"/>
      <c r="D65" s="395"/>
      <c r="F65" s="407">
        <v>2</v>
      </c>
      <c r="G65" s="361" t="s">
        <v>299</v>
      </c>
      <c r="H65" s="378"/>
      <c r="I65" s="401"/>
      <c r="M65" s="426">
        <f t="shared" si="6"/>
        <v>14</v>
      </c>
      <c r="N65" s="437" t="str">
        <f t="shared" si="6"/>
        <v>動力光熱費</v>
      </c>
      <c r="O65" s="445">
        <f t="shared" si="6"/>
        <v>73200</v>
      </c>
      <c r="P65" s="451"/>
      <c r="Q65" s="451"/>
    </row>
    <row r="66" spans="1:17" ht="23.25" customHeight="1">
      <c r="A66" s="346">
        <v>4</v>
      </c>
      <c r="B66" s="360" t="s">
        <v>140</v>
      </c>
      <c r="C66" s="378"/>
      <c r="D66" s="395"/>
      <c r="F66" s="407">
        <v>3</v>
      </c>
      <c r="G66" s="361" t="s">
        <v>64</v>
      </c>
      <c r="H66" s="378"/>
      <c r="I66" s="401"/>
      <c r="M66" s="426">
        <f t="shared" si="6"/>
        <v>16</v>
      </c>
      <c r="N66" s="437" t="str">
        <f t="shared" si="6"/>
        <v>農業共済掛金等</v>
      </c>
      <c r="O66" s="445">
        <f t="shared" si="6"/>
        <v>0</v>
      </c>
      <c r="P66" s="451"/>
      <c r="Q66" s="451"/>
    </row>
    <row r="67" spans="1:17" ht="23.25" customHeight="1">
      <c r="A67" s="346">
        <v>12</v>
      </c>
      <c r="B67" s="360" t="s">
        <v>346</v>
      </c>
      <c r="C67" s="378">
        <v>25000</v>
      </c>
      <c r="D67" s="395" t="s">
        <v>203</v>
      </c>
      <c r="F67" s="407">
        <v>4</v>
      </c>
      <c r="G67" s="361" t="s">
        <v>301</v>
      </c>
      <c r="H67" s="378"/>
      <c r="I67" s="401"/>
      <c r="M67" s="426">
        <f t="shared" si="6"/>
        <v>23</v>
      </c>
      <c r="N67" s="437" t="str">
        <f t="shared" si="6"/>
        <v>雑費（事務費等）</v>
      </c>
      <c r="O67" s="445">
        <f t="shared" si="6"/>
        <v>0</v>
      </c>
      <c r="P67" s="451"/>
      <c r="Q67" s="451"/>
    </row>
    <row r="68" spans="1:17" ht="23.25" customHeight="1">
      <c r="A68" s="346">
        <v>14</v>
      </c>
      <c r="B68" s="360" t="s">
        <v>707</v>
      </c>
      <c r="C68" s="378"/>
      <c r="D68" s="395"/>
      <c r="F68" s="407">
        <v>5</v>
      </c>
      <c r="G68" s="361" t="s">
        <v>82</v>
      </c>
      <c r="H68" s="378"/>
      <c r="I68" s="401"/>
      <c r="M68" s="426">
        <f t="shared" si="6"/>
        <v>26</v>
      </c>
      <c r="N68" s="437" t="str">
        <f t="shared" si="6"/>
        <v>その他</v>
      </c>
      <c r="O68" s="445">
        <f t="shared" si="6"/>
        <v>0</v>
      </c>
      <c r="P68" s="451"/>
      <c r="Q68" s="451"/>
    </row>
    <row r="69" spans="1:17" ht="23.25" customHeight="1">
      <c r="A69" s="346">
        <v>15</v>
      </c>
      <c r="B69" s="360" t="s">
        <v>318</v>
      </c>
      <c r="C69" s="378"/>
      <c r="D69" s="395"/>
      <c r="F69" s="407">
        <v>6</v>
      </c>
      <c r="G69" s="361" t="s">
        <v>304</v>
      </c>
      <c r="H69" s="378"/>
      <c r="I69" s="401"/>
      <c r="M69" s="428">
        <f t="shared" si="6"/>
        <v>0</v>
      </c>
      <c r="N69" s="440" t="str">
        <f t="shared" si="6"/>
        <v>共同利用機械購入</v>
      </c>
      <c r="O69" s="447">
        <f t="shared" si="6"/>
        <v>0</v>
      </c>
      <c r="P69" s="451"/>
      <c r="Q69" s="451"/>
    </row>
    <row r="70" spans="1:17" ht="23.25" customHeight="1">
      <c r="A70" s="346">
        <v>16</v>
      </c>
      <c r="B70" s="360" t="s">
        <v>210</v>
      </c>
      <c r="C70" s="378"/>
      <c r="D70" s="395"/>
      <c r="F70" s="407">
        <v>7</v>
      </c>
      <c r="G70" s="361" t="s">
        <v>307</v>
      </c>
      <c r="H70" s="378"/>
      <c r="I70" s="401"/>
      <c r="L70" s="335" t="s">
        <v>362</v>
      </c>
      <c r="M70" s="425">
        <f t="shared" ref="M70:O82" si="7">A97</f>
        <v>1</v>
      </c>
      <c r="N70" s="436" t="str">
        <f t="shared" si="7"/>
        <v>雇人費（作業賃金）</v>
      </c>
      <c r="O70" s="446">
        <f t="shared" si="7"/>
        <v>0</v>
      </c>
      <c r="P70" s="451"/>
      <c r="Q70" s="451"/>
    </row>
    <row r="71" spans="1:17" ht="23.25" customHeight="1">
      <c r="A71" s="346">
        <v>21</v>
      </c>
      <c r="B71" s="360" t="s">
        <v>329</v>
      </c>
      <c r="C71" s="378"/>
      <c r="D71" s="395"/>
      <c r="F71" s="407">
        <v>8</v>
      </c>
      <c r="G71" s="361" t="s">
        <v>309</v>
      </c>
      <c r="H71" s="378"/>
      <c r="I71" s="401"/>
      <c r="M71" s="426">
        <f t="shared" si="7"/>
        <v>2</v>
      </c>
      <c r="N71" s="437" t="str">
        <f t="shared" si="7"/>
        <v>小作料・賃借料</v>
      </c>
      <c r="O71" s="445">
        <f t="shared" si="7"/>
        <v>0</v>
      </c>
      <c r="P71" s="451"/>
      <c r="Q71" s="451"/>
    </row>
    <row r="72" spans="1:17" ht="23.25" customHeight="1">
      <c r="A72" s="346">
        <v>23</v>
      </c>
      <c r="B72" s="360" t="s">
        <v>347</v>
      </c>
      <c r="C72" s="378"/>
      <c r="D72" s="395"/>
      <c r="F72" s="407">
        <v>9</v>
      </c>
      <c r="G72" s="361" t="s">
        <v>80</v>
      </c>
      <c r="H72" s="378"/>
      <c r="I72" s="401"/>
      <c r="M72" s="426">
        <f t="shared" si="7"/>
        <v>4</v>
      </c>
      <c r="N72" s="437" t="str">
        <f t="shared" si="7"/>
        <v>利子割引料</v>
      </c>
      <c r="O72" s="445">
        <f t="shared" si="7"/>
        <v>0</v>
      </c>
      <c r="P72" s="451"/>
      <c r="Q72" s="451"/>
    </row>
    <row r="73" spans="1:17" ht="23.25" customHeight="1">
      <c r="A73" s="346">
        <v>24</v>
      </c>
      <c r="B73" s="360" t="s">
        <v>25</v>
      </c>
      <c r="C73" s="378">
        <v>1200</v>
      </c>
      <c r="D73" s="395" t="s">
        <v>133</v>
      </c>
      <c r="F73" s="407">
        <v>10</v>
      </c>
      <c r="G73" s="361" t="s">
        <v>67</v>
      </c>
      <c r="H73" s="378"/>
      <c r="I73" s="401"/>
      <c r="M73" s="426">
        <f t="shared" si="7"/>
        <v>5</v>
      </c>
      <c r="N73" s="437" t="str">
        <f t="shared" si="7"/>
        <v>租税公課</v>
      </c>
      <c r="O73" s="445">
        <f t="shared" si="7"/>
        <v>0</v>
      </c>
      <c r="P73" s="451"/>
      <c r="Q73" s="451"/>
    </row>
    <row r="74" spans="1:17" ht="23.25" customHeight="1">
      <c r="A74" s="346">
        <v>25</v>
      </c>
      <c r="B74" s="360" t="s">
        <v>286</v>
      </c>
      <c r="C74" s="378"/>
      <c r="D74" s="395"/>
      <c r="F74" s="407">
        <v>11</v>
      </c>
      <c r="G74" s="361" t="s">
        <v>78</v>
      </c>
      <c r="H74" s="378"/>
      <c r="I74" s="401"/>
      <c r="M74" s="426">
        <f t="shared" si="7"/>
        <v>12</v>
      </c>
      <c r="N74" s="437" t="str">
        <f t="shared" si="7"/>
        <v>諸材料費</v>
      </c>
      <c r="O74" s="445">
        <f t="shared" si="7"/>
        <v>0</v>
      </c>
      <c r="P74" s="451"/>
      <c r="Q74" s="451"/>
    </row>
    <row r="75" spans="1:17" ht="23.25" customHeight="1">
      <c r="A75" s="346">
        <v>26</v>
      </c>
      <c r="B75" s="360" t="s">
        <v>24</v>
      </c>
      <c r="C75" s="378"/>
      <c r="D75" s="395"/>
      <c r="F75" s="407">
        <v>12</v>
      </c>
      <c r="G75" s="361" t="s">
        <v>311</v>
      </c>
      <c r="H75" s="378"/>
      <c r="I75" s="401"/>
      <c r="M75" s="426">
        <f t="shared" si="7"/>
        <v>13</v>
      </c>
      <c r="N75" s="437" t="str">
        <f t="shared" si="7"/>
        <v>修繕費</v>
      </c>
      <c r="O75" s="445">
        <f t="shared" si="7"/>
        <v>19800</v>
      </c>
      <c r="P75" s="451"/>
      <c r="Q75" s="451"/>
    </row>
    <row r="76" spans="1:17" ht="23.25" customHeight="1">
      <c r="A76" s="347"/>
      <c r="B76" s="362"/>
      <c r="C76" s="379"/>
      <c r="D76" s="396"/>
      <c r="F76" s="407">
        <v>13</v>
      </c>
      <c r="G76" s="361" t="s">
        <v>61</v>
      </c>
      <c r="H76" s="378"/>
      <c r="I76" s="401"/>
      <c r="M76" s="426">
        <f t="shared" si="7"/>
        <v>14</v>
      </c>
      <c r="N76" s="437" t="str">
        <f t="shared" si="7"/>
        <v>動力光熱費</v>
      </c>
      <c r="O76" s="445">
        <f t="shared" si="7"/>
        <v>0</v>
      </c>
      <c r="P76" s="451"/>
      <c r="Q76" s="451"/>
    </row>
    <row r="77" spans="1:17" ht="23.25" customHeight="1">
      <c r="A77" s="352"/>
      <c r="B77" s="358" t="s">
        <v>43</v>
      </c>
      <c r="C77" s="375">
        <f>IF(SUM(C64:C76)=0,"　",SUM(C64:C76))</f>
        <v>56200</v>
      </c>
      <c r="D77" s="397"/>
      <c r="F77" s="407">
        <v>14</v>
      </c>
      <c r="G77" s="361" t="s">
        <v>338</v>
      </c>
      <c r="H77" s="378"/>
      <c r="I77" s="401"/>
      <c r="M77" s="426">
        <f t="shared" si="7"/>
        <v>15</v>
      </c>
      <c r="N77" s="437" t="str">
        <f t="shared" si="7"/>
        <v>作業用衣料費</v>
      </c>
      <c r="O77" s="445">
        <f t="shared" si="7"/>
        <v>0</v>
      </c>
      <c r="P77" s="451"/>
      <c r="Q77" s="451"/>
    </row>
    <row r="78" spans="1:17" ht="23.25" customHeight="1">
      <c r="A78" s="353"/>
      <c r="B78" s="369"/>
      <c r="C78" s="381"/>
      <c r="D78" s="372"/>
      <c r="F78" s="407">
        <v>15</v>
      </c>
      <c r="G78" s="361" t="s">
        <v>318</v>
      </c>
      <c r="H78" s="378"/>
      <c r="I78" s="401"/>
      <c r="M78" s="426">
        <f t="shared" si="7"/>
        <v>16</v>
      </c>
      <c r="N78" s="437" t="str">
        <f t="shared" si="7"/>
        <v>農業共済掛金等</v>
      </c>
      <c r="O78" s="445">
        <f t="shared" si="7"/>
        <v>0</v>
      </c>
      <c r="P78" s="451"/>
      <c r="Q78" s="451"/>
    </row>
    <row r="79" spans="1:17" ht="23.25" customHeight="1">
      <c r="A79" s="341" t="s">
        <v>79</v>
      </c>
      <c r="B79" s="370"/>
      <c r="C79" s="382"/>
      <c r="D79" s="370"/>
      <c r="F79" s="407">
        <v>16</v>
      </c>
      <c r="G79" s="361" t="s">
        <v>33</v>
      </c>
      <c r="H79" s="378"/>
      <c r="I79" s="401"/>
      <c r="M79" s="426">
        <f t="shared" si="7"/>
        <v>22</v>
      </c>
      <c r="N79" s="437" t="str">
        <f t="shared" si="7"/>
        <v>備品等購入費</v>
      </c>
      <c r="O79" s="445">
        <f t="shared" si="7"/>
        <v>0</v>
      </c>
      <c r="P79" s="451"/>
      <c r="Q79" s="451"/>
    </row>
    <row r="80" spans="1:17" ht="23.25" customHeight="1">
      <c r="A80" s="342" t="s">
        <v>35</v>
      </c>
      <c r="B80" s="356" t="s">
        <v>28</v>
      </c>
      <c r="C80" s="380" t="s">
        <v>31</v>
      </c>
      <c r="D80" s="384" t="s">
        <v>30</v>
      </c>
      <c r="F80" s="407">
        <v>17</v>
      </c>
      <c r="G80" s="361" t="s">
        <v>235</v>
      </c>
      <c r="H80" s="378"/>
      <c r="I80" s="401"/>
      <c r="M80" s="426">
        <f t="shared" si="7"/>
        <v>23</v>
      </c>
      <c r="N80" s="437" t="str">
        <f t="shared" si="7"/>
        <v>雑費（事務費等）</v>
      </c>
      <c r="O80" s="445">
        <f t="shared" si="7"/>
        <v>0</v>
      </c>
      <c r="P80" s="451"/>
      <c r="Q80" s="451"/>
    </row>
    <row r="81" spans="1:17" ht="23.25" customHeight="1">
      <c r="A81" s="345">
        <v>1</v>
      </c>
      <c r="B81" s="363" t="s">
        <v>339</v>
      </c>
      <c r="C81" s="377"/>
      <c r="D81" s="398"/>
      <c r="F81" s="407">
        <v>18</v>
      </c>
      <c r="G81" s="361" t="s">
        <v>319</v>
      </c>
      <c r="H81" s="378"/>
      <c r="I81" s="401"/>
      <c r="M81" s="426">
        <f t="shared" si="7"/>
        <v>26</v>
      </c>
      <c r="N81" s="437" t="str">
        <f t="shared" si="7"/>
        <v>その他</v>
      </c>
      <c r="O81" s="445">
        <f t="shared" si="7"/>
        <v>0</v>
      </c>
      <c r="P81" s="451"/>
      <c r="Q81" s="451"/>
    </row>
    <row r="82" spans="1:17" ht="23.25" customHeight="1">
      <c r="A82" s="346">
        <v>2</v>
      </c>
      <c r="B82" s="360" t="s">
        <v>299</v>
      </c>
      <c r="C82" s="378"/>
      <c r="D82" s="395"/>
      <c r="F82" s="407">
        <v>19</v>
      </c>
      <c r="G82" s="361" t="s">
        <v>327</v>
      </c>
      <c r="H82" s="378"/>
      <c r="I82" s="401"/>
      <c r="M82" s="428">
        <f t="shared" si="7"/>
        <v>0</v>
      </c>
      <c r="N82" s="440">
        <f t="shared" si="7"/>
        <v>0</v>
      </c>
      <c r="O82" s="447">
        <f t="shared" si="7"/>
        <v>0</v>
      </c>
      <c r="P82" s="451"/>
      <c r="Q82" s="451"/>
    </row>
    <row r="83" spans="1:17" ht="23.25" customHeight="1">
      <c r="A83" s="346">
        <v>4</v>
      </c>
      <c r="B83" s="360" t="s">
        <v>140</v>
      </c>
      <c r="C83" s="378"/>
      <c r="D83" s="395"/>
      <c r="F83" s="407">
        <v>20</v>
      </c>
      <c r="G83" s="361" t="s">
        <v>332</v>
      </c>
      <c r="H83" s="378"/>
      <c r="I83" s="401"/>
      <c r="L83" s="335" t="s">
        <v>366</v>
      </c>
      <c r="M83" s="425">
        <f t="shared" ref="M83:O106" si="8">F3</f>
        <v>1</v>
      </c>
      <c r="N83" s="436" t="str">
        <f t="shared" si="8"/>
        <v>雇人費（作業賃金）</v>
      </c>
      <c r="O83" s="446">
        <f t="shared" si="8"/>
        <v>0</v>
      </c>
      <c r="P83" s="451"/>
      <c r="Q83" s="451"/>
    </row>
    <row r="84" spans="1:17" ht="23.25" customHeight="1">
      <c r="A84" s="346">
        <v>5</v>
      </c>
      <c r="B84" s="360" t="s">
        <v>82</v>
      </c>
      <c r="C84" s="378"/>
      <c r="D84" s="395"/>
      <c r="F84" s="407">
        <v>21</v>
      </c>
      <c r="G84" s="361" t="s">
        <v>329</v>
      </c>
      <c r="H84" s="378"/>
      <c r="I84" s="401"/>
      <c r="M84" s="426">
        <f t="shared" si="8"/>
        <v>2</v>
      </c>
      <c r="N84" s="437" t="str">
        <f t="shared" si="8"/>
        <v>小作料・賃借料</v>
      </c>
      <c r="O84" s="445">
        <f t="shared" si="8"/>
        <v>0</v>
      </c>
      <c r="P84" s="451"/>
      <c r="Q84" s="451"/>
    </row>
    <row r="85" spans="1:17" ht="23.25" customHeight="1">
      <c r="A85" s="346">
        <v>10</v>
      </c>
      <c r="B85" s="360" t="s">
        <v>67</v>
      </c>
      <c r="C85" s="378">
        <v>39800</v>
      </c>
      <c r="D85" s="395" t="s">
        <v>810</v>
      </c>
      <c r="F85" s="407">
        <v>22</v>
      </c>
      <c r="G85" s="361" t="s">
        <v>270</v>
      </c>
      <c r="H85" s="378"/>
      <c r="I85" s="401"/>
      <c r="M85" s="426">
        <f t="shared" si="8"/>
        <v>4</v>
      </c>
      <c r="N85" s="437" t="str">
        <f t="shared" si="8"/>
        <v>利子割引料</v>
      </c>
      <c r="O85" s="445">
        <f t="shared" si="8"/>
        <v>0</v>
      </c>
      <c r="P85" s="451"/>
      <c r="Q85" s="451"/>
    </row>
    <row r="86" spans="1:17" ht="23.25" customHeight="1">
      <c r="A86" s="346">
        <v>12</v>
      </c>
      <c r="B86" s="360" t="s">
        <v>346</v>
      </c>
      <c r="C86" s="378"/>
      <c r="D86" s="395"/>
      <c r="F86" s="407">
        <v>23</v>
      </c>
      <c r="G86" s="361" t="s">
        <v>325</v>
      </c>
      <c r="H86" s="378">
        <v>14328</v>
      </c>
      <c r="I86" s="401" t="s">
        <v>214</v>
      </c>
      <c r="M86" s="426">
        <f t="shared" si="8"/>
        <v>5</v>
      </c>
      <c r="N86" s="437" t="str">
        <f t="shared" si="8"/>
        <v>租税公課</v>
      </c>
      <c r="O86" s="445">
        <f t="shared" si="8"/>
        <v>0</v>
      </c>
      <c r="P86" s="451"/>
      <c r="Q86" s="451"/>
    </row>
    <row r="87" spans="1:17" ht="23.25" customHeight="1">
      <c r="A87" s="346">
        <v>13</v>
      </c>
      <c r="B87" s="360" t="s">
        <v>61</v>
      </c>
      <c r="C87" s="378"/>
      <c r="D87" s="395"/>
      <c r="F87" s="407">
        <v>24</v>
      </c>
      <c r="G87" s="360" t="s">
        <v>25</v>
      </c>
      <c r="H87" s="378"/>
      <c r="I87" s="401"/>
      <c r="M87" s="426">
        <f t="shared" si="8"/>
        <v>6</v>
      </c>
      <c r="N87" s="437" t="str">
        <f t="shared" si="8"/>
        <v>種苗費</v>
      </c>
      <c r="O87" s="445">
        <f t="shared" si="8"/>
        <v>1000</v>
      </c>
      <c r="P87" s="451"/>
      <c r="Q87" s="451"/>
    </row>
    <row r="88" spans="1:17" ht="23.25" customHeight="1">
      <c r="A88" s="346">
        <v>14</v>
      </c>
      <c r="B88" s="360" t="s">
        <v>707</v>
      </c>
      <c r="C88" s="378">
        <v>73200</v>
      </c>
      <c r="D88" s="395" t="s">
        <v>138</v>
      </c>
      <c r="F88" s="407">
        <v>25</v>
      </c>
      <c r="G88" s="361" t="s">
        <v>335</v>
      </c>
      <c r="H88" s="378"/>
      <c r="I88" s="401"/>
      <c r="M88" s="426">
        <f t="shared" si="8"/>
        <v>7</v>
      </c>
      <c r="N88" s="439" t="str">
        <f t="shared" si="8"/>
        <v>素畜費</v>
      </c>
      <c r="O88" s="445">
        <f t="shared" si="8"/>
        <v>0</v>
      </c>
      <c r="P88" s="451"/>
      <c r="Q88" s="451"/>
    </row>
    <row r="89" spans="1:17" ht="23.25" customHeight="1">
      <c r="A89" s="346">
        <v>16</v>
      </c>
      <c r="B89" s="360" t="s">
        <v>210</v>
      </c>
      <c r="C89" s="378"/>
      <c r="D89" s="395"/>
      <c r="F89" s="408">
        <v>26</v>
      </c>
      <c r="G89" s="415" t="s">
        <v>24</v>
      </c>
      <c r="H89" s="418"/>
      <c r="I89" s="420"/>
      <c r="M89" s="426">
        <f t="shared" si="8"/>
        <v>8</v>
      </c>
      <c r="N89" s="437" t="str">
        <f t="shared" si="8"/>
        <v>肥料費</v>
      </c>
      <c r="O89" s="445">
        <f t="shared" si="8"/>
        <v>0</v>
      </c>
      <c r="P89" s="451"/>
      <c r="Q89" s="451"/>
    </row>
    <row r="90" spans="1:17" ht="23.25" customHeight="1">
      <c r="A90" s="346">
        <v>23</v>
      </c>
      <c r="B90" s="360" t="s">
        <v>347</v>
      </c>
      <c r="C90" s="378"/>
      <c r="D90" s="395"/>
      <c r="F90" s="347"/>
      <c r="G90" s="362"/>
      <c r="H90" s="379"/>
      <c r="I90" s="402"/>
      <c r="M90" s="426">
        <f t="shared" si="8"/>
        <v>9</v>
      </c>
      <c r="N90" s="437" t="str">
        <f t="shared" si="8"/>
        <v>飼料費</v>
      </c>
      <c r="O90" s="445">
        <f t="shared" si="8"/>
        <v>0</v>
      </c>
      <c r="P90" s="451"/>
      <c r="Q90" s="451"/>
    </row>
    <row r="91" spans="1:17" ht="23.25" customHeight="1">
      <c r="A91" s="346">
        <v>26</v>
      </c>
      <c r="B91" s="360" t="s">
        <v>24</v>
      </c>
      <c r="C91" s="378"/>
      <c r="D91" s="395"/>
      <c r="F91" s="354"/>
      <c r="G91" s="371" t="s">
        <v>787</v>
      </c>
      <c r="H91" s="375">
        <f>IF(SUM(H64:H90)=0,"　",SUM(H64:H90))</f>
        <v>14328</v>
      </c>
      <c r="I91" s="403"/>
      <c r="M91" s="426">
        <f t="shared" si="8"/>
        <v>10</v>
      </c>
      <c r="N91" s="439" t="str">
        <f t="shared" si="8"/>
        <v>農具費</v>
      </c>
      <c r="O91" s="445">
        <f t="shared" si="8"/>
        <v>0</v>
      </c>
      <c r="P91" s="451"/>
      <c r="Q91" s="451"/>
    </row>
    <row r="92" spans="1:17" ht="23.25" customHeight="1">
      <c r="A92" s="347"/>
      <c r="B92" s="362" t="s">
        <v>709</v>
      </c>
      <c r="C92" s="379"/>
      <c r="D92" s="396"/>
      <c r="M92" s="426">
        <f t="shared" si="8"/>
        <v>11</v>
      </c>
      <c r="N92" s="437" t="str">
        <f t="shared" si="8"/>
        <v>農薬衛生費</v>
      </c>
      <c r="O92" s="445">
        <f t="shared" si="8"/>
        <v>0</v>
      </c>
      <c r="P92" s="451"/>
      <c r="Q92" s="451"/>
    </row>
    <row r="93" spans="1:17" ht="23.25" customHeight="1">
      <c r="A93" s="354"/>
      <c r="B93" s="371" t="s">
        <v>58</v>
      </c>
      <c r="C93" s="375">
        <f>IF(SUM(C81:C92)=0,"　",SUM(C81:C92))</f>
        <v>113000</v>
      </c>
      <c r="D93" s="397"/>
      <c r="F93" s="409" t="s">
        <v>70</v>
      </c>
      <c r="G93" s="416"/>
      <c r="H93" s="381"/>
      <c r="I93" s="372"/>
      <c r="M93" s="426">
        <f t="shared" si="8"/>
        <v>12</v>
      </c>
      <c r="N93" s="437" t="str">
        <f t="shared" si="8"/>
        <v>諸材料費</v>
      </c>
      <c r="O93" s="445">
        <f t="shared" si="8"/>
        <v>0</v>
      </c>
      <c r="P93" s="451"/>
      <c r="Q93" s="451"/>
    </row>
    <row r="94" spans="1:17" ht="23.25" customHeight="1">
      <c r="A94" s="353"/>
      <c r="B94" s="369"/>
      <c r="C94" s="381"/>
      <c r="D94" s="372"/>
      <c r="F94" s="342" t="s">
        <v>35</v>
      </c>
      <c r="G94" s="356" t="s">
        <v>28</v>
      </c>
      <c r="H94" s="380" t="s">
        <v>31</v>
      </c>
      <c r="I94" s="419" t="s">
        <v>30</v>
      </c>
      <c r="M94" s="426">
        <f t="shared" si="8"/>
        <v>13</v>
      </c>
      <c r="N94" s="437" t="str">
        <f t="shared" si="8"/>
        <v>修繕費</v>
      </c>
      <c r="O94" s="445">
        <f t="shared" si="8"/>
        <v>0</v>
      </c>
      <c r="P94" s="451"/>
      <c r="Q94" s="451"/>
    </row>
    <row r="95" spans="1:17" ht="23.25" customHeight="1">
      <c r="A95" s="355" t="s">
        <v>293</v>
      </c>
      <c r="B95" s="372"/>
      <c r="C95" s="381"/>
      <c r="D95" s="372"/>
      <c r="F95" s="410"/>
      <c r="G95" s="417" t="s">
        <v>189</v>
      </c>
      <c r="H95" s="377"/>
      <c r="I95" s="400"/>
      <c r="M95" s="426">
        <f t="shared" si="8"/>
        <v>14</v>
      </c>
      <c r="N95" s="437" t="str">
        <f t="shared" si="8"/>
        <v>動力光熱費</v>
      </c>
      <c r="O95" s="445">
        <f t="shared" si="8"/>
        <v>0</v>
      </c>
      <c r="P95" s="451"/>
      <c r="Q95" s="451"/>
    </row>
    <row r="96" spans="1:17" ht="23.25" customHeight="1">
      <c r="A96" s="342" t="s">
        <v>35</v>
      </c>
      <c r="B96" s="356" t="s">
        <v>28</v>
      </c>
      <c r="C96" s="380" t="s">
        <v>31</v>
      </c>
      <c r="D96" s="384" t="s">
        <v>30</v>
      </c>
      <c r="F96" s="411"/>
      <c r="G96" s="417" t="s">
        <v>559</v>
      </c>
      <c r="H96" s="378">
        <v>3259350</v>
      </c>
      <c r="I96" s="401" t="s">
        <v>753</v>
      </c>
      <c r="M96" s="426">
        <f t="shared" si="8"/>
        <v>15</v>
      </c>
      <c r="N96" s="437" t="str">
        <f t="shared" si="8"/>
        <v>作業用衣料費</v>
      </c>
      <c r="O96" s="445">
        <f t="shared" si="8"/>
        <v>980</v>
      </c>
      <c r="P96" s="451"/>
      <c r="Q96" s="451"/>
    </row>
    <row r="97" spans="1:17" ht="23.25" customHeight="1">
      <c r="A97" s="345">
        <v>1</v>
      </c>
      <c r="B97" s="363" t="s">
        <v>339</v>
      </c>
      <c r="C97" s="377"/>
      <c r="D97" s="398"/>
      <c r="F97" s="411"/>
      <c r="G97" s="417"/>
      <c r="H97" s="378"/>
      <c r="I97" s="401"/>
      <c r="M97" s="426">
        <f t="shared" si="8"/>
        <v>16</v>
      </c>
      <c r="N97" s="437" t="str">
        <f t="shared" si="8"/>
        <v>農業共済掛金</v>
      </c>
      <c r="O97" s="445">
        <f t="shared" si="8"/>
        <v>12000</v>
      </c>
      <c r="P97" s="451"/>
      <c r="Q97" s="451"/>
    </row>
    <row r="98" spans="1:17" ht="23.25" customHeight="1">
      <c r="A98" s="346">
        <v>2</v>
      </c>
      <c r="B98" s="360" t="s">
        <v>299</v>
      </c>
      <c r="C98" s="378"/>
      <c r="D98" s="395"/>
      <c r="F98" s="411"/>
      <c r="G98" s="417"/>
      <c r="H98" s="378"/>
      <c r="I98" s="401"/>
      <c r="M98" s="426">
        <f t="shared" si="8"/>
        <v>17</v>
      </c>
      <c r="N98" s="437" t="str">
        <f t="shared" si="8"/>
        <v>荷造り運賃手数料</v>
      </c>
      <c r="O98" s="445">
        <f t="shared" si="8"/>
        <v>0</v>
      </c>
      <c r="P98" s="451"/>
      <c r="Q98" s="451"/>
    </row>
    <row r="99" spans="1:17" ht="23.25" customHeight="1">
      <c r="A99" s="346">
        <v>4</v>
      </c>
      <c r="B99" s="360" t="s">
        <v>140</v>
      </c>
      <c r="C99" s="378"/>
      <c r="D99" s="395"/>
      <c r="F99" s="412"/>
      <c r="G99" s="362"/>
      <c r="H99" s="379"/>
      <c r="I99" s="402"/>
      <c r="M99" s="426">
        <f t="shared" si="8"/>
        <v>20</v>
      </c>
      <c r="N99" s="437" t="str">
        <f t="shared" si="8"/>
        <v>交通費</v>
      </c>
      <c r="O99" s="445">
        <f t="shared" si="8"/>
        <v>0</v>
      </c>
      <c r="P99" s="451"/>
      <c r="Q99" s="451"/>
    </row>
    <row r="100" spans="1:17" ht="23.25" customHeight="1">
      <c r="A100" s="346">
        <v>5</v>
      </c>
      <c r="B100" s="360" t="s">
        <v>82</v>
      </c>
      <c r="C100" s="378"/>
      <c r="D100" s="395"/>
      <c r="F100" s="413"/>
      <c r="G100" s="358" t="s">
        <v>895</v>
      </c>
      <c r="H100" s="375">
        <f>IF(SUM(H95:H99)=0,"　",SUM(H95:H99))</f>
        <v>3259350</v>
      </c>
      <c r="I100" s="403"/>
      <c r="M100" s="426">
        <f t="shared" si="8"/>
        <v>21</v>
      </c>
      <c r="N100" s="437" t="str">
        <f t="shared" si="8"/>
        <v>報償費・謝金</v>
      </c>
      <c r="O100" s="445">
        <f t="shared" si="8"/>
        <v>0</v>
      </c>
      <c r="P100" s="451"/>
      <c r="Q100" s="451"/>
    </row>
    <row r="101" spans="1:17" ht="23.25" customHeight="1">
      <c r="A101" s="346">
        <v>12</v>
      </c>
      <c r="B101" s="360" t="s">
        <v>346</v>
      </c>
      <c r="C101" s="378"/>
      <c r="D101" s="395"/>
      <c r="F101" s="353"/>
      <c r="G101" s="369"/>
      <c r="H101" s="381"/>
      <c r="I101" s="372"/>
      <c r="M101" s="426">
        <f t="shared" si="8"/>
        <v>22</v>
      </c>
      <c r="N101" s="437" t="str">
        <f t="shared" si="8"/>
        <v>備品等購入費</v>
      </c>
      <c r="O101" s="445">
        <f t="shared" si="8"/>
        <v>0</v>
      </c>
      <c r="P101" s="451"/>
      <c r="Q101" s="451"/>
    </row>
    <row r="102" spans="1:17" ht="23.25" customHeight="1">
      <c r="A102" s="346">
        <v>13</v>
      </c>
      <c r="B102" s="360" t="s">
        <v>61</v>
      </c>
      <c r="C102" s="378">
        <v>19800</v>
      </c>
      <c r="D102" s="395" t="s">
        <v>217</v>
      </c>
      <c r="F102" s="370" t="s">
        <v>93</v>
      </c>
      <c r="G102" s="370"/>
      <c r="H102" s="382">
        <f>IF(ISBLANK('1.入力表'!D19)," ",IF(SUM(C5,C18,C39,C61,C77,C93,C110,H27,H39,H49,H91,H100,C148,H148)=0,0,SUM(C5,C18,C39,C61,C77,C93,C110,H27,H39,H49,H91,H100,C148,H148)))</f>
        <v>4128436</v>
      </c>
      <c r="I102" s="370" t="s">
        <v>94</v>
      </c>
      <c r="M102" s="426">
        <f t="shared" si="8"/>
        <v>23</v>
      </c>
      <c r="N102" s="437" t="str">
        <f t="shared" si="8"/>
        <v>雑費（事務費等）</v>
      </c>
      <c r="O102" s="445">
        <f t="shared" si="8"/>
        <v>0</v>
      </c>
      <c r="P102" s="451"/>
      <c r="Q102" s="451"/>
    </row>
    <row r="103" spans="1:17" ht="23.25" customHeight="1">
      <c r="A103" s="346">
        <v>14</v>
      </c>
      <c r="B103" s="360" t="s">
        <v>707</v>
      </c>
      <c r="C103" s="378"/>
      <c r="D103" s="395"/>
      <c r="F103" s="370" t="s">
        <v>89</v>
      </c>
      <c r="G103" s="370"/>
      <c r="H103" s="382">
        <f>IF(SUM(C5,C18,C39,C61,C77,C93,C110,H27,H39,H49,H91,C148,H148)=0,"　",SUM(C5,C18,C39,C61,C77,C93,C110,H27,H39,H49,H91,C148,H148))</f>
        <v>869086</v>
      </c>
      <c r="I103" s="370" t="s">
        <v>822</v>
      </c>
      <c r="M103" s="426">
        <f t="shared" si="8"/>
        <v>24</v>
      </c>
      <c r="N103" s="437" t="str">
        <f t="shared" si="8"/>
        <v>茶菓代</v>
      </c>
      <c r="O103" s="445">
        <f t="shared" si="8"/>
        <v>0</v>
      </c>
      <c r="P103" s="451"/>
      <c r="Q103" s="451"/>
    </row>
    <row r="104" spans="1:17" ht="23.25" customHeight="1">
      <c r="A104" s="346">
        <v>15</v>
      </c>
      <c r="B104" s="360" t="s">
        <v>318</v>
      </c>
      <c r="C104" s="378"/>
      <c r="D104" s="395"/>
      <c r="F104" s="370" t="s">
        <v>103</v>
      </c>
      <c r="G104" s="370"/>
      <c r="H104" s="382">
        <f>IF(H100=0,"　",H100)</f>
        <v>3259350</v>
      </c>
      <c r="I104" s="370" t="s">
        <v>94</v>
      </c>
      <c r="M104" s="426">
        <f t="shared" si="8"/>
        <v>25</v>
      </c>
      <c r="N104" s="437" t="str">
        <f t="shared" si="8"/>
        <v>食料費</v>
      </c>
      <c r="O104" s="445">
        <f t="shared" si="8"/>
        <v>0</v>
      </c>
      <c r="P104" s="451"/>
      <c r="Q104" s="451"/>
    </row>
    <row r="105" spans="1:17" ht="23.25" customHeight="1">
      <c r="A105" s="346">
        <v>16</v>
      </c>
      <c r="B105" s="360" t="s">
        <v>210</v>
      </c>
      <c r="C105" s="378"/>
      <c r="D105" s="395"/>
      <c r="M105" s="426">
        <f t="shared" si="8"/>
        <v>26</v>
      </c>
      <c r="N105" s="437" t="str">
        <f t="shared" si="8"/>
        <v>その他</v>
      </c>
      <c r="O105" s="445">
        <f t="shared" si="8"/>
        <v>0</v>
      </c>
      <c r="P105" s="451"/>
      <c r="Q105" s="451"/>
    </row>
    <row r="106" spans="1:17" ht="23.25" customHeight="1">
      <c r="A106" s="346">
        <v>22</v>
      </c>
      <c r="B106" s="360" t="s">
        <v>331</v>
      </c>
      <c r="C106" s="378"/>
      <c r="D106" s="395"/>
      <c r="M106" s="426">
        <f t="shared" si="8"/>
        <v>0</v>
      </c>
      <c r="N106" s="437">
        <f t="shared" si="8"/>
        <v>0</v>
      </c>
      <c r="O106" s="445">
        <f t="shared" si="8"/>
        <v>0</v>
      </c>
      <c r="P106" s="451"/>
      <c r="Q106" s="451"/>
    </row>
    <row r="107" spans="1:17" ht="23.25" customHeight="1">
      <c r="A107" s="346">
        <v>23</v>
      </c>
      <c r="B107" s="360" t="s">
        <v>347</v>
      </c>
      <c r="C107" s="378"/>
      <c r="D107" s="395"/>
      <c r="M107" s="428">
        <f>F26</f>
        <v>0</v>
      </c>
      <c r="N107" s="440">
        <f>G26</f>
        <v>0</v>
      </c>
      <c r="O107" s="447">
        <f>H26</f>
        <v>0</v>
      </c>
      <c r="P107" s="451"/>
      <c r="Q107" s="451"/>
    </row>
    <row r="108" spans="1:17" ht="23.25" customHeight="1">
      <c r="A108" s="346">
        <v>26</v>
      </c>
      <c r="B108" s="360" t="s">
        <v>24</v>
      </c>
      <c r="C108" s="378"/>
      <c r="D108" s="395"/>
      <c r="L108" s="335" t="s">
        <v>367</v>
      </c>
      <c r="M108" s="425">
        <f t="shared" ref="M108:O115" si="9">F31</f>
        <v>2</v>
      </c>
      <c r="N108" s="436" t="str">
        <f t="shared" si="9"/>
        <v>小作料・賃借料</v>
      </c>
      <c r="O108" s="446">
        <f t="shared" si="9"/>
        <v>0</v>
      </c>
      <c r="P108" s="451"/>
      <c r="Q108" s="451"/>
    </row>
    <row r="109" spans="1:17" ht="23.25" customHeight="1">
      <c r="A109" s="347"/>
      <c r="B109" s="362"/>
      <c r="C109" s="379"/>
      <c r="D109" s="396"/>
      <c r="M109" s="426">
        <f t="shared" si="9"/>
        <v>5</v>
      </c>
      <c r="N109" s="439" t="str">
        <f t="shared" si="9"/>
        <v>租税公課</v>
      </c>
      <c r="O109" s="445">
        <f t="shared" si="9"/>
        <v>0</v>
      </c>
      <c r="P109" s="451"/>
      <c r="Q109" s="451"/>
    </row>
    <row r="110" spans="1:17" ht="23.25" customHeight="1">
      <c r="A110" s="354"/>
      <c r="B110" s="371" t="s">
        <v>53</v>
      </c>
      <c r="C110" s="375">
        <f>IF(SUM(C97:C109)=0,"　",SUM(C97:C109))</f>
        <v>19800</v>
      </c>
      <c r="D110" s="397"/>
      <c r="H110" s="334" t="s">
        <v>462</v>
      </c>
      <c r="I110" s="421">
        <v>0</v>
      </c>
      <c r="M110" s="426">
        <f t="shared" si="9"/>
        <v>16</v>
      </c>
      <c r="N110" s="437" t="str">
        <f t="shared" si="9"/>
        <v>農業共済掛金</v>
      </c>
      <c r="O110" s="445">
        <f t="shared" si="9"/>
        <v>0</v>
      </c>
      <c r="P110" s="451"/>
      <c r="Q110" s="451"/>
    </row>
    <row r="111" spans="1:17" ht="23.25" customHeight="1">
      <c r="A111" s="353"/>
      <c r="B111" s="369"/>
      <c r="C111" s="381"/>
      <c r="D111" s="372"/>
      <c r="H111" s="336" t="s">
        <v>449</v>
      </c>
      <c r="I111" s="422">
        <f>R2+R22</f>
        <v>280000</v>
      </c>
      <c r="M111" s="426">
        <f t="shared" si="9"/>
        <v>17</v>
      </c>
      <c r="N111" s="437" t="str">
        <f t="shared" si="9"/>
        <v>荷造運賃手数料</v>
      </c>
      <c r="O111" s="445">
        <f t="shared" si="9"/>
        <v>0</v>
      </c>
      <c r="P111" s="451"/>
      <c r="Q111" s="451"/>
    </row>
    <row r="112" spans="1:17" ht="23.25" customHeight="1">
      <c r="F112" s="414" t="s">
        <v>373</v>
      </c>
      <c r="G112" s="414"/>
      <c r="H112" s="414"/>
      <c r="I112" s="414"/>
      <c r="J112" s="414"/>
      <c r="M112" s="426">
        <f t="shared" si="9"/>
        <v>18</v>
      </c>
      <c r="N112" s="437" t="str">
        <f t="shared" si="9"/>
        <v>土地改良費</v>
      </c>
      <c r="O112" s="445">
        <f t="shared" si="9"/>
        <v>0</v>
      </c>
      <c r="P112" s="451"/>
      <c r="Q112" s="451"/>
    </row>
    <row r="113" spans="1:17" ht="23.25" customHeight="1">
      <c r="M113" s="426">
        <f t="shared" si="9"/>
        <v>23</v>
      </c>
      <c r="N113" s="437" t="str">
        <f t="shared" si="9"/>
        <v>雑費（事務費等）</v>
      </c>
      <c r="O113" s="445">
        <f t="shared" si="9"/>
        <v>0</v>
      </c>
      <c r="P113" s="451"/>
      <c r="Q113" s="451"/>
    </row>
    <row r="114" spans="1:17" ht="23.25" customHeight="1">
      <c r="M114" s="426">
        <f t="shared" si="9"/>
        <v>26</v>
      </c>
      <c r="N114" s="437" t="str">
        <f t="shared" si="9"/>
        <v>その他</v>
      </c>
      <c r="O114" s="445">
        <f t="shared" si="9"/>
        <v>0</v>
      </c>
      <c r="P114" s="451"/>
      <c r="Q114" s="451"/>
    </row>
    <row r="115" spans="1:17" ht="23.25" customHeight="1">
      <c r="M115" s="428">
        <f t="shared" si="9"/>
        <v>0</v>
      </c>
      <c r="N115" s="440">
        <f t="shared" si="9"/>
        <v>0</v>
      </c>
      <c r="O115" s="447">
        <f t="shared" si="9"/>
        <v>0</v>
      </c>
      <c r="P115" s="451"/>
      <c r="Q115" s="451"/>
    </row>
    <row r="116" spans="1:17" ht="23.25" customHeight="1">
      <c r="L116" s="335" t="s">
        <v>368</v>
      </c>
      <c r="M116" s="425">
        <f t="shared" ref="M116:O121" si="10">F43</f>
        <v>19</v>
      </c>
      <c r="N116" s="436" t="str">
        <f t="shared" si="10"/>
        <v>通信費</v>
      </c>
      <c r="O116" s="446">
        <f t="shared" si="10"/>
        <v>0</v>
      </c>
      <c r="P116" s="451"/>
      <c r="Q116" s="451"/>
    </row>
    <row r="117" spans="1:17" ht="23.25" customHeight="1">
      <c r="M117" s="426">
        <f t="shared" si="10"/>
        <v>20</v>
      </c>
      <c r="N117" s="437" t="str">
        <f t="shared" si="10"/>
        <v>交通費</v>
      </c>
      <c r="O117" s="445">
        <f t="shared" si="10"/>
        <v>0</v>
      </c>
      <c r="P117" s="451"/>
      <c r="Q117" s="451"/>
    </row>
    <row r="118" spans="1:17" ht="23.25" customHeight="1">
      <c r="M118" s="426">
        <f t="shared" si="10"/>
        <v>21</v>
      </c>
      <c r="N118" s="437" t="str">
        <f t="shared" si="10"/>
        <v>報償金・謝金</v>
      </c>
      <c r="O118" s="445">
        <f t="shared" si="10"/>
        <v>0</v>
      </c>
      <c r="P118" s="451"/>
      <c r="Q118" s="451"/>
    </row>
    <row r="119" spans="1:17" ht="23.25" customHeight="1">
      <c r="M119" s="426">
        <f t="shared" si="10"/>
        <v>23</v>
      </c>
      <c r="N119" s="437" t="str">
        <f t="shared" si="10"/>
        <v>雑費（事務費等）</v>
      </c>
      <c r="O119" s="445">
        <f t="shared" si="10"/>
        <v>0</v>
      </c>
      <c r="P119" s="451"/>
      <c r="Q119" s="451"/>
    </row>
    <row r="120" spans="1:17" ht="23.25" customHeight="1">
      <c r="M120" s="426">
        <f t="shared" si="10"/>
        <v>26</v>
      </c>
      <c r="N120" s="437" t="str">
        <f t="shared" si="10"/>
        <v>その他</v>
      </c>
      <c r="O120" s="445">
        <f t="shared" si="10"/>
        <v>0</v>
      </c>
      <c r="P120" s="451"/>
      <c r="Q120" s="451"/>
    </row>
    <row r="121" spans="1:17" ht="23.25" customHeight="1">
      <c r="M121" s="428">
        <f t="shared" si="10"/>
        <v>0</v>
      </c>
      <c r="N121" s="440">
        <f t="shared" si="10"/>
        <v>0</v>
      </c>
      <c r="O121" s="447">
        <f t="shared" si="10"/>
        <v>0</v>
      </c>
      <c r="P121" s="451"/>
      <c r="Q121" s="451"/>
    </row>
    <row r="122" spans="1:17" ht="23.25" customHeight="1">
      <c r="A122" s="341" t="s">
        <v>710</v>
      </c>
      <c r="B122" s="372"/>
      <c r="C122" s="372"/>
      <c r="D122" s="399"/>
      <c r="F122" s="341" t="s">
        <v>834</v>
      </c>
      <c r="G122" s="372"/>
      <c r="H122" s="372"/>
      <c r="I122" s="399"/>
      <c r="L122" s="335" t="s">
        <v>704</v>
      </c>
      <c r="M122" s="429">
        <f t="shared" ref="M122:O148" si="11">F64</f>
        <v>1</v>
      </c>
      <c r="N122" s="436" t="str">
        <f t="shared" si="11"/>
        <v>雇人費（作業賃金）</v>
      </c>
      <c r="O122" s="446">
        <f t="shared" si="11"/>
        <v>0</v>
      </c>
      <c r="P122" s="451"/>
      <c r="Q122" s="451"/>
    </row>
    <row r="123" spans="1:17" ht="23.25" customHeight="1">
      <c r="A123" s="342" t="s">
        <v>35</v>
      </c>
      <c r="B123" s="356" t="s">
        <v>28</v>
      </c>
      <c r="C123" s="380" t="s">
        <v>31</v>
      </c>
      <c r="D123" s="384" t="s">
        <v>30</v>
      </c>
      <c r="F123" s="342" t="s">
        <v>35</v>
      </c>
      <c r="G123" s="356" t="s">
        <v>28</v>
      </c>
      <c r="H123" s="380" t="s">
        <v>31</v>
      </c>
      <c r="I123" s="384" t="s">
        <v>30</v>
      </c>
      <c r="M123" s="430">
        <f t="shared" si="11"/>
        <v>2</v>
      </c>
      <c r="N123" s="437" t="str">
        <f t="shared" si="11"/>
        <v>小作料・賃借料</v>
      </c>
      <c r="O123" s="445">
        <f t="shared" si="11"/>
        <v>0</v>
      </c>
      <c r="P123" s="451"/>
      <c r="Q123" s="451"/>
    </row>
    <row r="124" spans="1:17" ht="23.25" customHeight="1">
      <c r="A124" s="345">
        <v>1</v>
      </c>
      <c r="B124" s="363" t="s">
        <v>339</v>
      </c>
      <c r="C124" s="377"/>
      <c r="D124" s="400"/>
      <c r="F124" s="345">
        <v>1</v>
      </c>
      <c r="G124" s="363" t="s">
        <v>339</v>
      </c>
      <c r="H124" s="377"/>
      <c r="I124" s="400"/>
      <c r="M124" s="430">
        <f t="shared" si="11"/>
        <v>3</v>
      </c>
      <c r="N124" s="437" t="str">
        <f t="shared" si="11"/>
        <v>貸倒金</v>
      </c>
      <c r="O124" s="445">
        <f t="shared" si="11"/>
        <v>0</v>
      </c>
      <c r="P124" s="451"/>
      <c r="Q124" s="451"/>
    </row>
    <row r="125" spans="1:17" ht="23.25" customHeight="1">
      <c r="A125" s="346">
        <v>2</v>
      </c>
      <c r="B125" s="360" t="s">
        <v>299</v>
      </c>
      <c r="C125" s="378"/>
      <c r="D125" s="401"/>
      <c r="F125" s="346">
        <v>2</v>
      </c>
      <c r="G125" s="360" t="s">
        <v>299</v>
      </c>
      <c r="H125" s="378"/>
      <c r="I125" s="401"/>
      <c r="M125" s="430">
        <f t="shared" si="11"/>
        <v>4</v>
      </c>
      <c r="N125" s="437" t="str">
        <f t="shared" si="11"/>
        <v>利子割引料</v>
      </c>
      <c r="O125" s="445">
        <f t="shared" si="11"/>
        <v>0</v>
      </c>
      <c r="P125" s="451"/>
      <c r="Q125" s="451"/>
    </row>
    <row r="126" spans="1:17" ht="23.25" customHeight="1">
      <c r="A126" s="346">
        <v>4</v>
      </c>
      <c r="B126" s="360" t="s">
        <v>140</v>
      </c>
      <c r="C126" s="378"/>
      <c r="D126" s="401"/>
      <c r="F126" s="346">
        <v>4</v>
      </c>
      <c r="G126" s="360" t="s">
        <v>140</v>
      </c>
      <c r="H126" s="378"/>
      <c r="I126" s="401"/>
      <c r="M126" s="430">
        <f t="shared" si="11"/>
        <v>5</v>
      </c>
      <c r="N126" s="437" t="str">
        <f t="shared" si="11"/>
        <v>租税公課</v>
      </c>
      <c r="O126" s="445">
        <f t="shared" si="11"/>
        <v>0</v>
      </c>
      <c r="P126" s="451"/>
      <c r="Q126" s="451"/>
    </row>
    <row r="127" spans="1:17" ht="23.25" customHeight="1">
      <c r="A127" s="346">
        <v>5</v>
      </c>
      <c r="B127" s="360" t="s">
        <v>82</v>
      </c>
      <c r="C127" s="378"/>
      <c r="D127" s="401"/>
      <c r="F127" s="346">
        <v>5</v>
      </c>
      <c r="G127" s="360" t="s">
        <v>82</v>
      </c>
      <c r="H127" s="378"/>
      <c r="I127" s="401"/>
      <c r="M127" s="430">
        <f t="shared" si="11"/>
        <v>6</v>
      </c>
      <c r="N127" s="437" t="str">
        <f t="shared" si="11"/>
        <v>種苗費</v>
      </c>
      <c r="O127" s="445">
        <f t="shared" si="11"/>
        <v>0</v>
      </c>
      <c r="P127" s="451"/>
      <c r="Q127" s="451"/>
    </row>
    <row r="128" spans="1:17" ht="23.25" customHeight="1">
      <c r="A128" s="346">
        <v>6</v>
      </c>
      <c r="B128" s="360" t="s">
        <v>304</v>
      </c>
      <c r="C128" s="378"/>
      <c r="D128" s="401"/>
      <c r="F128" s="346">
        <v>6</v>
      </c>
      <c r="G128" s="360" t="s">
        <v>304</v>
      </c>
      <c r="H128" s="378"/>
      <c r="I128" s="401"/>
      <c r="M128" s="430">
        <f t="shared" si="11"/>
        <v>7</v>
      </c>
      <c r="N128" s="437" t="str">
        <f t="shared" si="11"/>
        <v>素畜費</v>
      </c>
      <c r="O128" s="445">
        <f t="shared" si="11"/>
        <v>0</v>
      </c>
      <c r="P128" s="451"/>
      <c r="Q128" s="451"/>
    </row>
    <row r="129" spans="1:17" ht="23.25" customHeight="1">
      <c r="A129" s="346">
        <v>7</v>
      </c>
      <c r="B129" s="364" t="s">
        <v>307</v>
      </c>
      <c r="C129" s="378"/>
      <c r="D129" s="401"/>
      <c r="F129" s="346">
        <v>7</v>
      </c>
      <c r="G129" s="364" t="s">
        <v>307</v>
      </c>
      <c r="H129" s="378"/>
      <c r="I129" s="401"/>
      <c r="M129" s="430">
        <f t="shared" si="11"/>
        <v>8</v>
      </c>
      <c r="N129" s="437" t="str">
        <f t="shared" si="11"/>
        <v>肥料費</v>
      </c>
      <c r="O129" s="445">
        <f t="shared" si="11"/>
        <v>0</v>
      </c>
      <c r="P129" s="451"/>
      <c r="Q129" s="451"/>
    </row>
    <row r="130" spans="1:17" ht="23.25" customHeight="1">
      <c r="A130" s="346">
        <v>8</v>
      </c>
      <c r="B130" s="361" t="s">
        <v>309</v>
      </c>
      <c r="C130" s="378"/>
      <c r="D130" s="401"/>
      <c r="F130" s="346">
        <v>8</v>
      </c>
      <c r="G130" s="361" t="s">
        <v>309</v>
      </c>
      <c r="H130" s="378"/>
      <c r="I130" s="401"/>
      <c r="M130" s="430">
        <f t="shared" si="11"/>
        <v>9</v>
      </c>
      <c r="N130" s="437" t="str">
        <f t="shared" si="11"/>
        <v>飼料費</v>
      </c>
      <c r="O130" s="445">
        <f t="shared" si="11"/>
        <v>0</v>
      </c>
      <c r="P130" s="451"/>
      <c r="Q130" s="451"/>
    </row>
    <row r="131" spans="1:17" ht="23.25" customHeight="1">
      <c r="A131" s="346">
        <v>9</v>
      </c>
      <c r="B131" s="360" t="s">
        <v>80</v>
      </c>
      <c r="C131" s="378"/>
      <c r="D131" s="401"/>
      <c r="F131" s="346">
        <v>9</v>
      </c>
      <c r="G131" s="360" t="s">
        <v>80</v>
      </c>
      <c r="H131" s="378"/>
      <c r="I131" s="401"/>
      <c r="M131" s="430">
        <f t="shared" si="11"/>
        <v>10</v>
      </c>
      <c r="N131" s="437" t="str">
        <f t="shared" si="11"/>
        <v>農具費</v>
      </c>
      <c r="O131" s="445">
        <f t="shared" si="11"/>
        <v>0</v>
      </c>
      <c r="P131" s="451"/>
      <c r="Q131" s="451"/>
    </row>
    <row r="132" spans="1:17" ht="23.25" customHeight="1">
      <c r="A132" s="346">
        <v>10</v>
      </c>
      <c r="B132" s="364" t="s">
        <v>67</v>
      </c>
      <c r="C132" s="378"/>
      <c r="D132" s="401"/>
      <c r="F132" s="346">
        <v>10</v>
      </c>
      <c r="G132" s="364" t="s">
        <v>67</v>
      </c>
      <c r="H132" s="378"/>
      <c r="I132" s="401"/>
      <c r="M132" s="430">
        <f t="shared" si="11"/>
        <v>11</v>
      </c>
      <c r="N132" s="437" t="str">
        <f t="shared" si="11"/>
        <v>農薬衛生費</v>
      </c>
      <c r="O132" s="445">
        <f t="shared" si="11"/>
        <v>0</v>
      </c>
      <c r="P132" s="451"/>
      <c r="Q132" s="451"/>
    </row>
    <row r="133" spans="1:17" ht="23.25" customHeight="1">
      <c r="A133" s="346">
        <v>11</v>
      </c>
      <c r="B133" s="360" t="s">
        <v>71</v>
      </c>
      <c r="C133" s="378"/>
      <c r="D133" s="401"/>
      <c r="F133" s="346">
        <v>11</v>
      </c>
      <c r="G133" s="360" t="s">
        <v>71</v>
      </c>
      <c r="H133" s="378"/>
      <c r="I133" s="401"/>
      <c r="M133" s="430">
        <f t="shared" si="11"/>
        <v>12</v>
      </c>
      <c r="N133" s="437" t="str">
        <f t="shared" si="11"/>
        <v>諸材料費</v>
      </c>
      <c r="O133" s="445">
        <f t="shared" si="11"/>
        <v>0</v>
      </c>
      <c r="P133" s="451"/>
      <c r="Q133" s="451"/>
    </row>
    <row r="134" spans="1:17" ht="23.25" customHeight="1">
      <c r="A134" s="346">
        <v>12</v>
      </c>
      <c r="B134" s="360" t="s">
        <v>346</v>
      </c>
      <c r="C134" s="378">
        <v>32000</v>
      </c>
      <c r="D134" s="401" t="s">
        <v>109</v>
      </c>
      <c r="F134" s="346">
        <v>12</v>
      </c>
      <c r="G134" s="360" t="s">
        <v>346</v>
      </c>
      <c r="H134" s="378"/>
      <c r="I134" s="401"/>
      <c r="M134" s="430">
        <f t="shared" si="11"/>
        <v>13</v>
      </c>
      <c r="N134" s="437" t="str">
        <f t="shared" si="11"/>
        <v>修繕費</v>
      </c>
      <c r="O134" s="445">
        <f t="shared" si="11"/>
        <v>0</v>
      </c>
      <c r="P134" s="451"/>
      <c r="Q134" s="451"/>
    </row>
    <row r="135" spans="1:17" ht="23.25" customHeight="1">
      <c r="A135" s="346">
        <v>13</v>
      </c>
      <c r="B135" s="361" t="s">
        <v>61</v>
      </c>
      <c r="C135" s="378"/>
      <c r="D135" s="401"/>
      <c r="F135" s="346">
        <v>13</v>
      </c>
      <c r="G135" s="361" t="s">
        <v>61</v>
      </c>
      <c r="H135" s="378"/>
      <c r="I135" s="401"/>
      <c r="M135" s="430">
        <f t="shared" si="11"/>
        <v>14</v>
      </c>
      <c r="N135" s="437" t="str">
        <f t="shared" si="11"/>
        <v>動力光熱費</v>
      </c>
      <c r="O135" s="445">
        <f t="shared" si="11"/>
        <v>0</v>
      </c>
      <c r="P135" s="451"/>
      <c r="Q135" s="451"/>
    </row>
    <row r="136" spans="1:17" ht="23.25" customHeight="1">
      <c r="A136" s="346">
        <v>14</v>
      </c>
      <c r="B136" s="361" t="s">
        <v>63</v>
      </c>
      <c r="C136" s="378">
        <v>29800</v>
      </c>
      <c r="D136" s="401" t="s">
        <v>202</v>
      </c>
      <c r="F136" s="346">
        <v>14</v>
      </c>
      <c r="G136" s="361" t="s">
        <v>63</v>
      </c>
      <c r="H136" s="378"/>
      <c r="I136" s="401"/>
      <c r="M136" s="430">
        <f t="shared" si="11"/>
        <v>15</v>
      </c>
      <c r="N136" s="437" t="str">
        <f t="shared" si="11"/>
        <v>作業用衣料費</v>
      </c>
      <c r="O136" s="445">
        <f t="shared" si="11"/>
        <v>0</v>
      </c>
      <c r="P136" s="451"/>
      <c r="Q136" s="451"/>
    </row>
    <row r="137" spans="1:17" ht="23.25" customHeight="1">
      <c r="A137" s="346">
        <v>15</v>
      </c>
      <c r="B137" s="361" t="s">
        <v>318</v>
      </c>
      <c r="C137" s="378"/>
      <c r="D137" s="401"/>
      <c r="F137" s="346">
        <v>15</v>
      </c>
      <c r="G137" s="361" t="s">
        <v>318</v>
      </c>
      <c r="H137" s="378"/>
      <c r="I137" s="401"/>
      <c r="M137" s="430">
        <f t="shared" si="11"/>
        <v>16</v>
      </c>
      <c r="N137" s="437" t="str">
        <f t="shared" si="11"/>
        <v>農業共済掛金</v>
      </c>
      <c r="O137" s="445">
        <f t="shared" si="11"/>
        <v>0</v>
      </c>
      <c r="P137" s="451"/>
      <c r="Q137" s="451"/>
    </row>
    <row r="138" spans="1:17" ht="23.25" customHeight="1">
      <c r="A138" s="346">
        <v>16</v>
      </c>
      <c r="B138" s="361" t="s">
        <v>33</v>
      </c>
      <c r="C138" s="378"/>
      <c r="D138" s="401"/>
      <c r="F138" s="346">
        <v>16</v>
      </c>
      <c r="G138" s="361" t="s">
        <v>33</v>
      </c>
      <c r="H138" s="378"/>
      <c r="I138" s="401"/>
      <c r="M138" s="430">
        <f t="shared" si="11"/>
        <v>17</v>
      </c>
      <c r="N138" s="437" t="str">
        <f t="shared" si="11"/>
        <v>荷造運賃手数料</v>
      </c>
      <c r="O138" s="445">
        <f t="shared" si="11"/>
        <v>0</v>
      </c>
      <c r="P138" s="451"/>
      <c r="Q138" s="451"/>
    </row>
    <row r="139" spans="1:17" ht="23.25" customHeight="1">
      <c r="A139" s="346">
        <v>17</v>
      </c>
      <c r="B139" s="360" t="s">
        <v>450</v>
      </c>
      <c r="C139" s="378">
        <v>5800</v>
      </c>
      <c r="D139" s="401" t="s">
        <v>20</v>
      </c>
      <c r="F139" s="346">
        <v>17</v>
      </c>
      <c r="G139" s="360" t="s">
        <v>450</v>
      </c>
      <c r="H139" s="378"/>
      <c r="I139" s="401"/>
      <c r="M139" s="430">
        <f t="shared" si="11"/>
        <v>18</v>
      </c>
      <c r="N139" s="437" t="str">
        <f t="shared" si="11"/>
        <v>土地改良費</v>
      </c>
      <c r="O139" s="445">
        <f t="shared" si="11"/>
        <v>0</v>
      </c>
      <c r="P139" s="451"/>
      <c r="Q139" s="451"/>
    </row>
    <row r="140" spans="1:17" ht="23.25" customHeight="1">
      <c r="A140" s="346">
        <v>20</v>
      </c>
      <c r="B140" s="360" t="s">
        <v>332</v>
      </c>
      <c r="C140" s="378"/>
      <c r="D140" s="401"/>
      <c r="F140" s="346">
        <v>20</v>
      </c>
      <c r="G140" s="360" t="s">
        <v>332</v>
      </c>
      <c r="H140" s="378"/>
      <c r="I140" s="401"/>
      <c r="M140" s="430">
        <f t="shared" si="11"/>
        <v>19</v>
      </c>
      <c r="N140" s="437" t="str">
        <f t="shared" si="11"/>
        <v>通信費</v>
      </c>
      <c r="O140" s="445">
        <f t="shared" si="11"/>
        <v>0</v>
      </c>
      <c r="P140" s="451"/>
      <c r="Q140" s="451"/>
    </row>
    <row r="141" spans="1:17" ht="23.25" customHeight="1">
      <c r="A141" s="346">
        <v>21</v>
      </c>
      <c r="B141" s="360" t="s">
        <v>329</v>
      </c>
      <c r="C141" s="378"/>
      <c r="D141" s="401"/>
      <c r="F141" s="346">
        <v>21</v>
      </c>
      <c r="G141" s="360" t="s">
        <v>329</v>
      </c>
      <c r="H141" s="378"/>
      <c r="I141" s="401"/>
      <c r="M141" s="430">
        <f t="shared" si="11"/>
        <v>20</v>
      </c>
      <c r="N141" s="437" t="str">
        <f t="shared" si="11"/>
        <v>交通費</v>
      </c>
      <c r="O141" s="445">
        <f t="shared" si="11"/>
        <v>0</v>
      </c>
      <c r="P141" s="451"/>
      <c r="Q141" s="451"/>
    </row>
    <row r="142" spans="1:17" ht="23.25" customHeight="1">
      <c r="A142" s="346">
        <v>22</v>
      </c>
      <c r="B142" s="361" t="s">
        <v>270</v>
      </c>
      <c r="C142" s="378"/>
      <c r="D142" s="401"/>
      <c r="F142" s="346">
        <v>22</v>
      </c>
      <c r="G142" s="361" t="s">
        <v>270</v>
      </c>
      <c r="H142" s="378"/>
      <c r="I142" s="401"/>
      <c r="M142" s="430">
        <f t="shared" si="11"/>
        <v>21</v>
      </c>
      <c r="N142" s="437" t="str">
        <f t="shared" si="11"/>
        <v>報償費・謝金</v>
      </c>
      <c r="O142" s="445">
        <f t="shared" si="11"/>
        <v>0</v>
      </c>
      <c r="P142" s="451"/>
      <c r="Q142" s="451"/>
    </row>
    <row r="143" spans="1:17" ht="23.25" customHeight="1">
      <c r="A143" s="346">
        <v>23</v>
      </c>
      <c r="B143" s="360" t="s">
        <v>347</v>
      </c>
      <c r="C143" s="378"/>
      <c r="D143" s="401"/>
      <c r="F143" s="346">
        <v>23</v>
      </c>
      <c r="G143" s="360" t="s">
        <v>347</v>
      </c>
      <c r="H143" s="378"/>
      <c r="I143" s="401"/>
      <c r="M143" s="430">
        <f t="shared" si="11"/>
        <v>22</v>
      </c>
      <c r="N143" s="437" t="str">
        <f t="shared" si="11"/>
        <v>備品等購入費</v>
      </c>
      <c r="O143" s="445">
        <f t="shared" si="11"/>
        <v>0</v>
      </c>
      <c r="P143" s="451"/>
      <c r="Q143" s="451"/>
    </row>
    <row r="144" spans="1:17" ht="23.25" customHeight="1">
      <c r="A144" s="346">
        <v>24</v>
      </c>
      <c r="B144" s="360" t="s">
        <v>25</v>
      </c>
      <c r="C144" s="378"/>
      <c r="D144" s="401"/>
      <c r="F144" s="346">
        <v>24</v>
      </c>
      <c r="G144" s="360" t="s">
        <v>25</v>
      </c>
      <c r="H144" s="378"/>
      <c r="I144" s="401"/>
      <c r="M144" s="430">
        <f t="shared" si="11"/>
        <v>23</v>
      </c>
      <c r="N144" s="437" t="str">
        <f t="shared" si="11"/>
        <v>雑費（事務費等）</v>
      </c>
      <c r="O144" s="445">
        <f t="shared" si="11"/>
        <v>14328</v>
      </c>
      <c r="P144" s="451"/>
      <c r="Q144" s="451"/>
    </row>
    <row r="145" spans="1:17" ht="23.25" customHeight="1">
      <c r="A145" s="346">
        <v>25</v>
      </c>
      <c r="B145" s="360" t="s">
        <v>335</v>
      </c>
      <c r="C145" s="378"/>
      <c r="D145" s="401"/>
      <c r="F145" s="346">
        <v>25</v>
      </c>
      <c r="G145" s="360" t="s">
        <v>335</v>
      </c>
      <c r="H145" s="378"/>
      <c r="I145" s="401"/>
      <c r="M145" s="430">
        <f t="shared" si="11"/>
        <v>24</v>
      </c>
      <c r="N145" s="437" t="str">
        <f t="shared" si="11"/>
        <v>茶菓代</v>
      </c>
      <c r="O145" s="445">
        <f t="shared" si="11"/>
        <v>0</v>
      </c>
      <c r="P145" s="451"/>
      <c r="Q145" s="451"/>
    </row>
    <row r="146" spans="1:17" ht="23.25" customHeight="1">
      <c r="A146" s="346">
        <v>26</v>
      </c>
      <c r="B146" s="360" t="s">
        <v>24</v>
      </c>
      <c r="C146" s="378"/>
      <c r="D146" s="401"/>
      <c r="F146" s="346">
        <v>26</v>
      </c>
      <c r="G146" s="360" t="s">
        <v>24</v>
      </c>
      <c r="H146" s="378"/>
      <c r="I146" s="401"/>
      <c r="M146" s="426">
        <f t="shared" si="11"/>
        <v>25</v>
      </c>
      <c r="N146" s="437" t="str">
        <f t="shared" si="11"/>
        <v>食料費</v>
      </c>
      <c r="O146" s="445">
        <f t="shared" si="11"/>
        <v>0</v>
      </c>
      <c r="P146" s="451"/>
      <c r="Q146" s="451"/>
    </row>
    <row r="147" spans="1:17" ht="23.25" customHeight="1">
      <c r="A147" s="347"/>
      <c r="B147" s="362"/>
      <c r="C147" s="379"/>
      <c r="D147" s="402"/>
      <c r="F147" s="347"/>
      <c r="G147" s="362"/>
      <c r="H147" s="379"/>
      <c r="I147" s="402"/>
      <c r="M147" s="426">
        <f t="shared" si="11"/>
        <v>26</v>
      </c>
      <c r="N147" s="437" t="str">
        <f t="shared" si="11"/>
        <v>その他</v>
      </c>
      <c r="O147" s="445">
        <f t="shared" si="11"/>
        <v>0</v>
      </c>
      <c r="P147" s="451"/>
      <c r="Q147" s="451"/>
    </row>
    <row r="148" spans="1:17" ht="23.25" customHeight="1">
      <c r="A148" s="354"/>
      <c r="B148" s="371" t="s">
        <v>896</v>
      </c>
      <c r="C148" s="375">
        <f>IF(SUM(C124:C147)=0,"　",SUM(C124:C147))</f>
        <v>67600</v>
      </c>
      <c r="D148" s="403"/>
      <c r="F148" s="354"/>
      <c r="G148" s="371" t="s">
        <v>897</v>
      </c>
      <c r="H148" s="375" t="str">
        <f>IF(SUM(H124:H147)=0,"　",SUM(H124:H147))</f>
        <v>　</v>
      </c>
      <c r="I148" s="403"/>
      <c r="M148" s="428">
        <f t="shared" si="11"/>
        <v>0</v>
      </c>
      <c r="N148" s="440">
        <f t="shared" si="11"/>
        <v>0</v>
      </c>
      <c r="O148" s="447">
        <f t="shared" si="11"/>
        <v>0</v>
      </c>
      <c r="P148" s="451"/>
      <c r="Q148" s="451"/>
    </row>
    <row r="149" spans="1:17" ht="23.25" customHeight="1">
      <c r="L149" s="335" t="s">
        <v>701</v>
      </c>
      <c r="M149" s="431">
        <f t="shared" ref="M149:O172" si="12">A124</f>
        <v>1</v>
      </c>
      <c r="N149" s="441" t="str">
        <f t="shared" si="12"/>
        <v>雇人費（作業賃金）</v>
      </c>
      <c r="O149" s="448">
        <f t="shared" si="12"/>
        <v>0</v>
      </c>
    </row>
    <row r="150" spans="1:17" ht="15" customHeight="1">
      <c r="M150" s="432">
        <f t="shared" si="12"/>
        <v>2</v>
      </c>
      <c r="N150" s="442" t="str">
        <f t="shared" si="12"/>
        <v>小作料・賃借料</v>
      </c>
      <c r="O150" s="449">
        <f t="shared" si="12"/>
        <v>0</v>
      </c>
    </row>
    <row r="151" spans="1:17" ht="15" customHeight="1">
      <c r="M151" s="432">
        <f t="shared" si="12"/>
        <v>4</v>
      </c>
      <c r="N151" s="442" t="str">
        <f t="shared" si="12"/>
        <v>利子割引料</v>
      </c>
      <c r="O151" s="449">
        <f t="shared" si="12"/>
        <v>0</v>
      </c>
    </row>
    <row r="152" spans="1:17" ht="15" customHeight="1">
      <c r="M152" s="432">
        <f t="shared" si="12"/>
        <v>5</v>
      </c>
      <c r="N152" s="442" t="str">
        <f t="shared" si="12"/>
        <v>租税公課</v>
      </c>
      <c r="O152" s="449">
        <f t="shared" si="12"/>
        <v>0</v>
      </c>
    </row>
    <row r="153" spans="1:17" ht="15" customHeight="1">
      <c r="M153" s="432">
        <f t="shared" si="12"/>
        <v>6</v>
      </c>
      <c r="N153" s="442" t="str">
        <f t="shared" si="12"/>
        <v>種苗費</v>
      </c>
      <c r="O153" s="449">
        <f t="shared" si="12"/>
        <v>0</v>
      </c>
    </row>
    <row r="154" spans="1:17" ht="15" customHeight="1">
      <c r="M154" s="432">
        <f t="shared" si="12"/>
        <v>7</v>
      </c>
      <c r="N154" s="442" t="str">
        <f t="shared" si="12"/>
        <v>素畜費</v>
      </c>
      <c r="O154" s="449">
        <f t="shared" si="12"/>
        <v>0</v>
      </c>
    </row>
    <row r="155" spans="1:17" ht="15" customHeight="1">
      <c r="M155" s="432">
        <f t="shared" si="12"/>
        <v>8</v>
      </c>
      <c r="N155" s="442" t="str">
        <f t="shared" si="12"/>
        <v>肥料費</v>
      </c>
      <c r="O155" s="449">
        <f t="shared" si="12"/>
        <v>0</v>
      </c>
    </row>
    <row r="156" spans="1:17" ht="15" customHeight="1">
      <c r="M156" s="432">
        <f t="shared" si="12"/>
        <v>9</v>
      </c>
      <c r="N156" s="442" t="str">
        <f t="shared" si="12"/>
        <v>飼料費</v>
      </c>
      <c r="O156" s="449">
        <f t="shared" si="12"/>
        <v>0</v>
      </c>
    </row>
    <row r="157" spans="1:17" ht="15" customHeight="1">
      <c r="M157" s="432">
        <f t="shared" si="12"/>
        <v>10</v>
      </c>
      <c r="N157" s="442" t="str">
        <f t="shared" si="12"/>
        <v>農具費</v>
      </c>
      <c r="O157" s="449">
        <f t="shared" si="12"/>
        <v>0</v>
      </c>
    </row>
    <row r="158" spans="1:17" ht="15" customHeight="1">
      <c r="M158" s="432">
        <f t="shared" si="12"/>
        <v>11</v>
      </c>
      <c r="N158" s="442" t="str">
        <f t="shared" si="12"/>
        <v>農薬衛生費</v>
      </c>
      <c r="O158" s="449">
        <f t="shared" si="12"/>
        <v>0</v>
      </c>
    </row>
    <row r="159" spans="1:17" ht="15" customHeight="1">
      <c r="M159" s="432">
        <f t="shared" si="12"/>
        <v>12</v>
      </c>
      <c r="N159" s="442" t="str">
        <f t="shared" si="12"/>
        <v>諸材料費</v>
      </c>
      <c r="O159" s="449">
        <f t="shared" si="12"/>
        <v>32000</v>
      </c>
    </row>
    <row r="160" spans="1:17" ht="15" customHeight="1">
      <c r="M160" s="432">
        <f t="shared" si="12"/>
        <v>13</v>
      </c>
      <c r="N160" s="442" t="str">
        <f t="shared" si="12"/>
        <v>修繕費</v>
      </c>
      <c r="O160" s="449">
        <f t="shared" si="12"/>
        <v>0</v>
      </c>
    </row>
    <row r="161" spans="12:15" ht="15" customHeight="1">
      <c r="M161" s="432">
        <f t="shared" si="12"/>
        <v>14</v>
      </c>
      <c r="N161" s="442" t="str">
        <f t="shared" si="12"/>
        <v>動力光熱費</v>
      </c>
      <c r="O161" s="449">
        <f t="shared" si="12"/>
        <v>29800</v>
      </c>
    </row>
    <row r="162" spans="12:15" ht="15" customHeight="1">
      <c r="M162" s="432">
        <f t="shared" si="12"/>
        <v>15</v>
      </c>
      <c r="N162" s="442" t="str">
        <f t="shared" si="12"/>
        <v>作業用衣料費</v>
      </c>
      <c r="O162" s="449">
        <f t="shared" si="12"/>
        <v>0</v>
      </c>
    </row>
    <row r="163" spans="12:15" ht="15" customHeight="1">
      <c r="M163" s="432">
        <f t="shared" si="12"/>
        <v>16</v>
      </c>
      <c r="N163" s="442" t="str">
        <f t="shared" si="12"/>
        <v>農業共済掛金</v>
      </c>
      <c r="O163" s="449">
        <f t="shared" si="12"/>
        <v>0</v>
      </c>
    </row>
    <row r="164" spans="12:15" ht="15" customHeight="1">
      <c r="M164" s="432">
        <f t="shared" si="12"/>
        <v>17</v>
      </c>
      <c r="N164" s="442" t="str">
        <f t="shared" si="12"/>
        <v>荷造り運賃手数料</v>
      </c>
      <c r="O164" s="449">
        <f t="shared" si="12"/>
        <v>5800</v>
      </c>
    </row>
    <row r="165" spans="12:15" ht="15" customHeight="1">
      <c r="M165" s="432">
        <f t="shared" si="12"/>
        <v>20</v>
      </c>
      <c r="N165" s="442" t="str">
        <f t="shared" si="12"/>
        <v>交通費</v>
      </c>
      <c r="O165" s="449">
        <f t="shared" si="12"/>
        <v>0</v>
      </c>
    </row>
    <row r="166" spans="12:15" ht="15" customHeight="1">
      <c r="M166" s="432">
        <f t="shared" si="12"/>
        <v>21</v>
      </c>
      <c r="N166" s="442" t="str">
        <f t="shared" si="12"/>
        <v>報償費・謝金</v>
      </c>
      <c r="O166" s="449">
        <f t="shared" si="12"/>
        <v>0</v>
      </c>
    </row>
    <row r="167" spans="12:15" ht="15" customHeight="1">
      <c r="M167" s="432">
        <f t="shared" si="12"/>
        <v>22</v>
      </c>
      <c r="N167" s="442" t="str">
        <f t="shared" si="12"/>
        <v>備品等購入費</v>
      </c>
      <c r="O167" s="449">
        <f t="shared" si="12"/>
        <v>0</v>
      </c>
    </row>
    <row r="168" spans="12:15" ht="15" customHeight="1">
      <c r="M168" s="432">
        <f t="shared" si="12"/>
        <v>23</v>
      </c>
      <c r="N168" s="442" t="str">
        <f t="shared" si="12"/>
        <v>雑費（事務費等）</v>
      </c>
      <c r="O168" s="449">
        <f t="shared" si="12"/>
        <v>0</v>
      </c>
    </row>
    <row r="169" spans="12:15" ht="15" customHeight="1">
      <c r="M169" s="432">
        <f t="shared" si="12"/>
        <v>24</v>
      </c>
      <c r="N169" s="442" t="str">
        <f t="shared" si="12"/>
        <v>茶菓代</v>
      </c>
      <c r="O169" s="449">
        <f t="shared" si="12"/>
        <v>0</v>
      </c>
    </row>
    <row r="170" spans="12:15" ht="15" customHeight="1">
      <c r="M170" s="432">
        <f t="shared" si="12"/>
        <v>25</v>
      </c>
      <c r="N170" s="442" t="str">
        <f t="shared" si="12"/>
        <v>食料費</v>
      </c>
      <c r="O170" s="449">
        <f t="shared" si="12"/>
        <v>0</v>
      </c>
    </row>
    <row r="171" spans="12:15" ht="15" customHeight="1">
      <c r="M171" s="432">
        <f t="shared" si="12"/>
        <v>26</v>
      </c>
      <c r="N171" s="442" t="str">
        <f t="shared" si="12"/>
        <v>その他</v>
      </c>
      <c r="O171" s="449">
        <f t="shared" si="12"/>
        <v>0</v>
      </c>
    </row>
    <row r="172" spans="12:15" ht="15" customHeight="1">
      <c r="M172" s="433">
        <f t="shared" si="12"/>
        <v>0</v>
      </c>
      <c r="N172" s="443">
        <f t="shared" si="12"/>
        <v>0</v>
      </c>
      <c r="O172" s="450">
        <f t="shared" si="12"/>
        <v>0</v>
      </c>
    </row>
    <row r="173" spans="12:15" ht="15" customHeight="1">
      <c r="L173" s="335" t="s">
        <v>702</v>
      </c>
      <c r="M173" s="431">
        <f t="shared" ref="M173:O196" si="13">F124</f>
        <v>1</v>
      </c>
      <c r="N173" s="441" t="str">
        <f t="shared" si="13"/>
        <v>雇人費（作業賃金）</v>
      </c>
      <c r="O173" s="448">
        <f t="shared" si="13"/>
        <v>0</v>
      </c>
    </row>
    <row r="174" spans="12:15" ht="15" customHeight="1">
      <c r="M174" s="432">
        <f t="shared" si="13"/>
        <v>2</v>
      </c>
      <c r="N174" s="442" t="str">
        <f t="shared" si="13"/>
        <v>小作料・賃借料</v>
      </c>
      <c r="O174" s="449">
        <f t="shared" si="13"/>
        <v>0</v>
      </c>
    </row>
    <row r="175" spans="12:15" ht="15" customHeight="1">
      <c r="M175" s="432">
        <f t="shared" si="13"/>
        <v>4</v>
      </c>
      <c r="N175" s="442" t="str">
        <f t="shared" si="13"/>
        <v>利子割引料</v>
      </c>
      <c r="O175" s="449">
        <f t="shared" si="13"/>
        <v>0</v>
      </c>
    </row>
    <row r="176" spans="12:15" ht="15" customHeight="1">
      <c r="M176" s="432">
        <f t="shared" si="13"/>
        <v>5</v>
      </c>
      <c r="N176" s="442" t="str">
        <f t="shared" si="13"/>
        <v>租税公課</v>
      </c>
      <c r="O176" s="449">
        <f t="shared" si="13"/>
        <v>0</v>
      </c>
    </row>
    <row r="177" spans="13:15" ht="15" customHeight="1">
      <c r="M177" s="432">
        <f t="shared" si="13"/>
        <v>6</v>
      </c>
      <c r="N177" s="442" t="str">
        <f t="shared" si="13"/>
        <v>種苗費</v>
      </c>
      <c r="O177" s="449">
        <f t="shared" si="13"/>
        <v>0</v>
      </c>
    </row>
    <row r="178" spans="13:15" ht="15" customHeight="1">
      <c r="M178" s="432">
        <f t="shared" si="13"/>
        <v>7</v>
      </c>
      <c r="N178" s="442" t="str">
        <f t="shared" si="13"/>
        <v>素畜費</v>
      </c>
      <c r="O178" s="449">
        <f t="shared" si="13"/>
        <v>0</v>
      </c>
    </row>
    <row r="179" spans="13:15" ht="15" customHeight="1">
      <c r="M179" s="432">
        <f t="shared" si="13"/>
        <v>8</v>
      </c>
      <c r="N179" s="442" t="str">
        <f t="shared" si="13"/>
        <v>肥料費</v>
      </c>
      <c r="O179" s="449">
        <f t="shared" si="13"/>
        <v>0</v>
      </c>
    </row>
    <row r="180" spans="13:15" ht="15" customHeight="1">
      <c r="M180" s="432">
        <f t="shared" si="13"/>
        <v>9</v>
      </c>
      <c r="N180" s="442" t="str">
        <f t="shared" si="13"/>
        <v>飼料費</v>
      </c>
      <c r="O180" s="449">
        <f t="shared" si="13"/>
        <v>0</v>
      </c>
    </row>
    <row r="181" spans="13:15" ht="15" customHeight="1">
      <c r="M181" s="432">
        <f t="shared" si="13"/>
        <v>10</v>
      </c>
      <c r="N181" s="442" t="str">
        <f t="shared" si="13"/>
        <v>農具費</v>
      </c>
      <c r="O181" s="449">
        <f t="shared" si="13"/>
        <v>0</v>
      </c>
    </row>
    <row r="182" spans="13:15" ht="15" customHeight="1">
      <c r="M182" s="432">
        <f t="shared" si="13"/>
        <v>11</v>
      </c>
      <c r="N182" s="442" t="str">
        <f t="shared" si="13"/>
        <v>農薬衛生費</v>
      </c>
      <c r="O182" s="449">
        <f t="shared" si="13"/>
        <v>0</v>
      </c>
    </row>
    <row r="183" spans="13:15" ht="15" customHeight="1">
      <c r="M183" s="432">
        <f t="shared" si="13"/>
        <v>12</v>
      </c>
      <c r="N183" s="442" t="str">
        <f t="shared" si="13"/>
        <v>諸材料費</v>
      </c>
      <c r="O183" s="449">
        <f t="shared" si="13"/>
        <v>0</v>
      </c>
    </row>
    <row r="184" spans="13:15" ht="15" customHeight="1">
      <c r="M184" s="432">
        <f t="shared" si="13"/>
        <v>13</v>
      </c>
      <c r="N184" s="442" t="str">
        <f t="shared" si="13"/>
        <v>修繕費</v>
      </c>
      <c r="O184" s="449">
        <f t="shared" si="13"/>
        <v>0</v>
      </c>
    </row>
    <row r="185" spans="13:15" ht="15" customHeight="1">
      <c r="M185" s="432">
        <f t="shared" si="13"/>
        <v>14</v>
      </c>
      <c r="N185" s="442" t="str">
        <f t="shared" si="13"/>
        <v>動力光熱費</v>
      </c>
      <c r="O185" s="449">
        <f t="shared" si="13"/>
        <v>0</v>
      </c>
    </row>
    <row r="186" spans="13:15" ht="15" customHeight="1">
      <c r="M186" s="432">
        <f t="shared" si="13"/>
        <v>15</v>
      </c>
      <c r="N186" s="442" t="str">
        <f t="shared" si="13"/>
        <v>作業用衣料費</v>
      </c>
      <c r="O186" s="449">
        <f t="shared" si="13"/>
        <v>0</v>
      </c>
    </row>
    <row r="187" spans="13:15" ht="15" customHeight="1">
      <c r="M187" s="432">
        <f t="shared" si="13"/>
        <v>16</v>
      </c>
      <c r="N187" s="442" t="str">
        <f t="shared" si="13"/>
        <v>農業共済掛金</v>
      </c>
      <c r="O187" s="449">
        <f t="shared" si="13"/>
        <v>0</v>
      </c>
    </row>
    <row r="188" spans="13:15" ht="15" customHeight="1">
      <c r="M188" s="432">
        <f t="shared" si="13"/>
        <v>17</v>
      </c>
      <c r="N188" s="442" t="str">
        <f t="shared" si="13"/>
        <v>荷造り運賃手数料</v>
      </c>
      <c r="O188" s="449">
        <f t="shared" si="13"/>
        <v>0</v>
      </c>
    </row>
    <row r="189" spans="13:15" ht="15" customHeight="1">
      <c r="M189" s="432">
        <f t="shared" si="13"/>
        <v>20</v>
      </c>
      <c r="N189" s="442" t="str">
        <f t="shared" si="13"/>
        <v>交通費</v>
      </c>
      <c r="O189" s="449">
        <f t="shared" si="13"/>
        <v>0</v>
      </c>
    </row>
    <row r="190" spans="13:15" ht="15" customHeight="1">
      <c r="M190" s="432">
        <f t="shared" si="13"/>
        <v>21</v>
      </c>
      <c r="N190" s="442" t="str">
        <f t="shared" si="13"/>
        <v>報償費・謝金</v>
      </c>
      <c r="O190" s="449">
        <f t="shared" si="13"/>
        <v>0</v>
      </c>
    </row>
    <row r="191" spans="13:15" ht="15" customHeight="1">
      <c r="M191" s="432">
        <f t="shared" si="13"/>
        <v>22</v>
      </c>
      <c r="N191" s="442" t="str">
        <f t="shared" si="13"/>
        <v>備品等購入費</v>
      </c>
      <c r="O191" s="449">
        <f t="shared" si="13"/>
        <v>0</v>
      </c>
    </row>
    <row r="192" spans="13:15" ht="15" customHeight="1">
      <c r="M192" s="432">
        <f t="shared" si="13"/>
        <v>23</v>
      </c>
      <c r="N192" s="442" t="str">
        <f t="shared" si="13"/>
        <v>雑費（事務費等）</v>
      </c>
      <c r="O192" s="449">
        <f t="shared" si="13"/>
        <v>0</v>
      </c>
    </row>
    <row r="193" spans="13:15" ht="15" customHeight="1">
      <c r="M193" s="432">
        <f t="shared" si="13"/>
        <v>24</v>
      </c>
      <c r="N193" s="442" t="str">
        <f t="shared" si="13"/>
        <v>茶菓代</v>
      </c>
      <c r="O193" s="449">
        <f t="shared" si="13"/>
        <v>0</v>
      </c>
    </row>
    <row r="194" spans="13:15" ht="15" customHeight="1">
      <c r="M194" s="432">
        <f t="shared" si="13"/>
        <v>25</v>
      </c>
      <c r="N194" s="442" t="str">
        <f t="shared" si="13"/>
        <v>食料費</v>
      </c>
      <c r="O194" s="449">
        <f t="shared" si="13"/>
        <v>0</v>
      </c>
    </row>
    <row r="195" spans="13:15" ht="15" customHeight="1">
      <c r="M195" s="432">
        <f t="shared" si="13"/>
        <v>26</v>
      </c>
      <c r="N195" s="442" t="str">
        <f t="shared" si="13"/>
        <v>その他</v>
      </c>
      <c r="O195" s="449">
        <f t="shared" si="13"/>
        <v>0</v>
      </c>
    </row>
    <row r="196" spans="13:15" ht="15" customHeight="1">
      <c r="M196" s="433">
        <f t="shared" si="13"/>
        <v>0</v>
      </c>
      <c r="N196" s="443">
        <f t="shared" si="13"/>
        <v>0</v>
      </c>
      <c r="O196" s="450">
        <f t="shared" si="13"/>
        <v>0</v>
      </c>
    </row>
  </sheetData>
  <mergeCells count="4">
    <mergeCell ref="F102:G102"/>
    <mergeCell ref="F103:G103"/>
    <mergeCell ref="F104:G104"/>
    <mergeCell ref="F112:J112"/>
  </mergeCells>
  <phoneticPr fontId="5"/>
  <dataValidations count="1">
    <dataValidation imeMode="off" allowBlank="1" showDropDown="0" showInputMessage="1" showErrorMessage="1" sqref="O110:Q114 C81:C92 O49:Q56 O3:P7 O10:P10 O1:Q1 O70:Q81 H3:H26 C9:C17 C97:C109 C4 H124:H147 O12:P47 Q28:Q47 C22:C38 H31:H38 H43:H48 H64:H90 H95:H99 O92:Q106 C64:C76 O58:Q68 C124:C147 C43:C60"/>
  </dataValidations>
  <pageMargins left="0.59055118110236227" right="0.59055118110236227" top="0.39370078740157483" bottom="0.19685039370078741" header="0.19685039370078741" footer="3.937007874015748e-002"/>
  <pageSetup paperSize="9" scale="56" fitToWidth="1" fitToHeight="0" orientation="portrait" usePrinterDefaults="1" r:id="rId1"/>
  <headerFooter alignWithMargins="0">
    <oddHeader>&amp;L中山間地域等直接支払交付金集落支出明細票Ⅰ&amp;R〔提出〕</oddHeader>
    <oddFooter>&amp;R&amp;A</oddFooter>
  </headerFooter>
  <rowBreaks count="3" manualBreakCount="3">
    <brk id="61" max="16383" man="1"/>
    <brk id="121" max="16383" man="1"/>
    <brk id="162" max="16383" man="1"/>
  </rowBreaks>
  <colBreaks count="2" manualBreakCount="2">
    <brk id="5" max="1048575" man="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3:J41"/>
  <sheetViews>
    <sheetView showGridLines="0" showZeros="0" view="pageBreakPreview" topLeftCell="A4" zoomScaleSheetLayoutView="100" workbookViewId="0">
      <selection activeCell="D21" sqref="D21"/>
    </sheetView>
  </sheetViews>
  <sheetFormatPr defaultRowHeight="13.5"/>
  <cols>
    <col min="1" max="1" width="3.625" style="452" customWidth="1"/>
    <col min="2" max="2" width="19.625" style="452" customWidth="1"/>
    <col min="3" max="3" width="6.125" style="452" customWidth="1"/>
    <col min="4" max="4" width="11.25" style="453" customWidth="1"/>
    <col min="5" max="5" width="12.75" style="453" customWidth="1"/>
    <col min="6" max="7" width="8.25" style="452" customWidth="1"/>
    <col min="8" max="8" width="15.625" style="452" customWidth="1"/>
    <col min="9" max="9" width="6.5" style="452" customWidth="1"/>
    <col min="10" max="13" width="8.25" style="452" customWidth="1"/>
    <col min="14" max="16384" width="9" style="452" customWidth="1"/>
  </cols>
  <sheetData>
    <row r="3" spans="1:9">
      <c r="A3" s="452" t="s">
        <v>706</v>
      </c>
      <c r="F3" s="537" t="str">
        <f>IF(ISBLANK('1.入力表'!M3),"　",'1.入力表'!M3)</f>
        <v>奥安来</v>
      </c>
      <c r="G3" s="537"/>
      <c r="H3" s="537"/>
    </row>
    <row r="4" spans="1:9">
      <c r="E4" s="520" t="s">
        <v>104</v>
      </c>
      <c r="F4" s="538"/>
      <c r="G4" s="538"/>
      <c r="H4" s="538"/>
      <c r="I4" s="557" t="s">
        <v>34</v>
      </c>
    </row>
    <row r="5" spans="1:9">
      <c r="F5" s="537" t="str">
        <f>IF(ISBLANK('1.入力表'!M4),"　",'1.入力表'!M4)</f>
        <v>十神　どじょ夫</v>
      </c>
      <c r="G5" s="537"/>
      <c r="H5" s="537"/>
    </row>
    <row r="6" spans="1:9">
      <c r="E6" s="520" t="s">
        <v>117</v>
      </c>
      <c r="F6" s="538"/>
      <c r="G6" s="538"/>
      <c r="H6" s="538"/>
      <c r="I6" s="558" t="s">
        <v>73</v>
      </c>
    </row>
    <row r="7" spans="1:9" ht="39.75" customHeight="1">
      <c r="A7" s="454" t="s">
        <v>660</v>
      </c>
      <c r="B7" s="454"/>
      <c r="C7" s="483">
        <f>IF(ISBLANK('1.入力表'!M2),"　",'1.入力表'!M2)</f>
        <v>6</v>
      </c>
      <c r="D7" s="500" t="s">
        <v>257</v>
      </c>
      <c r="E7" s="500"/>
      <c r="F7" s="500"/>
      <c r="G7" s="500"/>
      <c r="H7" s="500"/>
      <c r="I7" s="500"/>
    </row>
    <row r="8" spans="1:9" ht="14.25">
      <c r="A8" s="1" t="s">
        <v>47</v>
      </c>
    </row>
    <row r="9" spans="1:9" ht="8.25" customHeight="1"/>
    <row r="10" spans="1:9" ht="14.25">
      <c r="A10" s="1" t="s">
        <v>279</v>
      </c>
    </row>
    <row r="11" spans="1:9" ht="14.25">
      <c r="A11" s="455"/>
      <c r="B11" s="470"/>
      <c r="C11" s="484" t="s">
        <v>144</v>
      </c>
      <c r="D11" s="501"/>
      <c r="E11" s="521" t="s">
        <v>57</v>
      </c>
      <c r="F11" s="539"/>
      <c r="G11" s="539"/>
      <c r="H11" s="539"/>
      <c r="I11" s="559"/>
    </row>
    <row r="12" spans="1:9" ht="22.5" customHeight="1">
      <c r="A12" s="456" t="s">
        <v>380</v>
      </c>
      <c r="B12" s="471"/>
      <c r="C12" s="485"/>
      <c r="D12" s="502">
        <f>'1.入力表'!F5</f>
        <v>7000000</v>
      </c>
      <c r="E12" s="522"/>
      <c r="F12" s="540"/>
      <c r="G12" s="540"/>
      <c r="H12" s="540"/>
      <c r="I12" s="560"/>
    </row>
    <row r="13" spans="1:9" ht="22.5" customHeight="1">
      <c r="A13" s="457" t="s">
        <v>506</v>
      </c>
      <c r="B13" s="472" t="s">
        <v>455</v>
      </c>
      <c r="C13" s="486"/>
      <c r="D13" s="503">
        <f>IF('1.入力表'!F10=0,"　",'1.入力表'!F10)</f>
        <v>2000000</v>
      </c>
      <c r="E13" s="523" t="str">
        <f>IF(ISBLANK('1.入力表'!H10)," ",'1.入力表'!H10)</f>
        <v>耕地面積により配分</v>
      </c>
      <c r="F13" s="541"/>
      <c r="G13" s="541"/>
      <c r="H13" s="541"/>
      <c r="I13" s="561"/>
    </row>
    <row r="14" spans="1:9" ht="22.5" customHeight="1">
      <c r="A14" s="458"/>
      <c r="B14" s="473" t="s">
        <v>118</v>
      </c>
      <c r="C14" s="487"/>
      <c r="D14" s="504">
        <f>IF('1.入力表'!M12=0,"　",'1.入力表'!M12)</f>
        <v>5000000</v>
      </c>
      <c r="E14" s="524" t="str">
        <f>IF(ISBLANK('1.入力表'!R12)," ",'1.入力表'!R12)</f>
        <v>協定者で均等に按分</v>
      </c>
      <c r="F14" s="542"/>
      <c r="G14" s="542"/>
      <c r="H14" s="542"/>
      <c r="I14" s="562"/>
    </row>
    <row r="15" spans="1:9" ht="9" customHeight="1">
      <c r="A15" s="459"/>
      <c r="B15" s="459"/>
      <c r="C15" s="459"/>
      <c r="D15" s="505"/>
      <c r="E15" s="525"/>
      <c r="F15" s="525"/>
      <c r="G15" s="525"/>
      <c r="H15" s="525"/>
      <c r="I15" s="525"/>
    </row>
    <row r="16" spans="1:9" ht="22.5" customHeight="1">
      <c r="A16" s="460" t="s">
        <v>379</v>
      </c>
      <c r="B16" s="460"/>
      <c r="C16" s="488"/>
      <c r="D16" s="506">
        <f>'1.入力表'!M14</f>
        <v>0</v>
      </c>
      <c r="E16" s="526"/>
      <c r="F16" s="526"/>
      <c r="G16" s="526"/>
      <c r="H16" s="526"/>
      <c r="I16" s="526"/>
    </row>
    <row r="17" spans="1:9" ht="9.75" customHeight="1">
      <c r="D17" s="507"/>
    </row>
    <row r="18" spans="1:9" ht="14.25">
      <c r="A18" s="1" t="s">
        <v>169</v>
      </c>
      <c r="D18" s="507"/>
    </row>
    <row r="19" spans="1:9" ht="13.5" customHeight="1">
      <c r="A19" s="461" t="s">
        <v>106</v>
      </c>
      <c r="B19" s="474"/>
      <c r="C19" s="489" t="s">
        <v>126</v>
      </c>
      <c r="D19" s="508"/>
      <c r="E19" s="461" t="s">
        <v>134</v>
      </c>
      <c r="F19" s="543"/>
      <c r="G19" s="543"/>
      <c r="H19" s="543"/>
      <c r="I19" s="474"/>
    </row>
    <row r="20" spans="1:9">
      <c r="A20" s="462"/>
      <c r="B20" s="475"/>
      <c r="C20" s="490"/>
      <c r="D20" s="509"/>
      <c r="E20" s="462"/>
      <c r="F20" s="544"/>
      <c r="G20" s="544"/>
      <c r="H20" s="544"/>
      <c r="I20" s="475"/>
    </row>
    <row r="21" spans="1:9" ht="23.25" customHeight="1">
      <c r="A21" s="463" t="s">
        <v>354</v>
      </c>
      <c r="B21" s="476" t="s">
        <v>27</v>
      </c>
      <c r="C21" s="491"/>
      <c r="D21" s="510">
        <f>'2.支出明細'!C5</f>
        <v>120000</v>
      </c>
      <c r="E21" s="527"/>
      <c r="F21" s="545"/>
      <c r="G21" s="545"/>
      <c r="H21" s="545"/>
      <c r="I21" s="563"/>
    </row>
    <row r="22" spans="1:9" ht="23.25" customHeight="1">
      <c r="A22" s="464" t="s">
        <v>356</v>
      </c>
      <c r="B22" s="477" t="s">
        <v>699</v>
      </c>
      <c r="C22" s="492"/>
      <c r="D22" s="511">
        <f>'2.支出明細'!C18</f>
        <v>12700</v>
      </c>
      <c r="E22" s="528"/>
      <c r="F22" s="546"/>
      <c r="G22" s="546"/>
      <c r="H22" s="546"/>
      <c r="I22" s="564"/>
    </row>
    <row r="23" spans="1:9" ht="23.25" customHeight="1">
      <c r="A23" s="464" t="s">
        <v>265</v>
      </c>
      <c r="B23" s="477" t="s">
        <v>374</v>
      </c>
      <c r="C23" s="492"/>
      <c r="D23" s="511">
        <f>'2.支出明細'!C39</f>
        <v>250355</v>
      </c>
      <c r="E23" s="528"/>
      <c r="F23" s="546"/>
      <c r="G23" s="546"/>
      <c r="H23" s="546"/>
      <c r="I23" s="564"/>
    </row>
    <row r="24" spans="1:9" ht="23.25" customHeight="1">
      <c r="A24" s="464" t="s">
        <v>343</v>
      </c>
      <c r="B24" s="477" t="s">
        <v>375</v>
      </c>
      <c r="C24" s="492"/>
      <c r="D24" s="511">
        <f>'2.支出明細'!C61</f>
        <v>201123</v>
      </c>
      <c r="E24" s="528"/>
      <c r="F24" s="546"/>
      <c r="G24" s="546"/>
      <c r="H24" s="546"/>
      <c r="I24" s="564"/>
    </row>
    <row r="25" spans="1:9" ht="23.25" customHeight="1">
      <c r="A25" s="464" t="s">
        <v>358</v>
      </c>
      <c r="B25" s="477" t="s">
        <v>204</v>
      </c>
      <c r="C25" s="492"/>
      <c r="D25" s="511">
        <f>'2.支出明細'!C77</f>
        <v>56200</v>
      </c>
      <c r="E25" s="528"/>
      <c r="F25" s="546"/>
      <c r="G25" s="546"/>
      <c r="H25" s="546"/>
      <c r="I25" s="564"/>
    </row>
    <row r="26" spans="1:9" ht="23.25" customHeight="1">
      <c r="A26" s="464" t="s">
        <v>360</v>
      </c>
      <c r="B26" s="477" t="s">
        <v>376</v>
      </c>
      <c r="C26" s="492"/>
      <c r="D26" s="511">
        <f>'2.支出明細'!C93</f>
        <v>113000</v>
      </c>
      <c r="E26" s="528"/>
      <c r="F26" s="546"/>
      <c r="G26" s="546"/>
      <c r="H26" s="546"/>
      <c r="I26" s="564"/>
    </row>
    <row r="27" spans="1:9" ht="23.25" customHeight="1">
      <c r="A27" s="464" t="s">
        <v>362</v>
      </c>
      <c r="B27" s="477" t="s">
        <v>658</v>
      </c>
      <c r="C27" s="492"/>
      <c r="D27" s="511">
        <f>'2.支出明細'!C110</f>
        <v>19800</v>
      </c>
      <c r="E27" s="528"/>
      <c r="F27" s="546"/>
      <c r="G27" s="546"/>
      <c r="H27" s="546"/>
      <c r="I27" s="564"/>
    </row>
    <row r="28" spans="1:9" ht="23.25" customHeight="1">
      <c r="A28" s="464" t="s">
        <v>366</v>
      </c>
      <c r="B28" s="477" t="s">
        <v>85</v>
      </c>
      <c r="C28" s="492"/>
      <c r="D28" s="511">
        <f>'2.支出明細'!H27</f>
        <v>13980</v>
      </c>
      <c r="E28" s="528"/>
      <c r="F28" s="546"/>
      <c r="G28" s="546"/>
      <c r="H28" s="546"/>
      <c r="I28" s="564"/>
    </row>
    <row r="29" spans="1:9" ht="23.25" customHeight="1">
      <c r="A29" s="464" t="s">
        <v>367</v>
      </c>
      <c r="B29" s="477" t="s">
        <v>378</v>
      </c>
      <c r="C29" s="492"/>
      <c r="D29" s="511" t="str">
        <f>'2.支出明細'!H39</f>
        <v>　</v>
      </c>
      <c r="E29" s="528"/>
      <c r="F29" s="546"/>
      <c r="G29" s="546"/>
      <c r="H29" s="546"/>
      <c r="I29" s="564"/>
    </row>
    <row r="30" spans="1:9" ht="23.25" customHeight="1">
      <c r="A30" s="464" t="s">
        <v>368</v>
      </c>
      <c r="B30" s="477" t="s">
        <v>113</v>
      </c>
      <c r="C30" s="492"/>
      <c r="D30" s="511" t="str">
        <f>'2.支出明細'!H49</f>
        <v>　</v>
      </c>
      <c r="E30" s="528"/>
      <c r="F30" s="546"/>
      <c r="G30" s="546"/>
      <c r="H30" s="546"/>
      <c r="I30" s="564"/>
    </row>
    <row r="31" spans="1:9" ht="23.25" customHeight="1">
      <c r="A31" s="465" t="s">
        <v>701</v>
      </c>
      <c r="B31" s="478" t="s">
        <v>351</v>
      </c>
      <c r="C31" s="493"/>
      <c r="D31" s="512">
        <f>'2.支出明細'!C148</f>
        <v>67600</v>
      </c>
      <c r="E31" s="529"/>
      <c r="F31" s="529"/>
      <c r="G31" s="529"/>
      <c r="H31" s="529"/>
      <c r="I31" s="565"/>
    </row>
    <row r="32" spans="1:9" ht="23.25" customHeight="1">
      <c r="A32" s="465" t="s">
        <v>702</v>
      </c>
      <c r="B32" s="478" t="s">
        <v>110</v>
      </c>
      <c r="C32" s="493"/>
      <c r="D32" s="513" t="str">
        <f>'2.支出明細'!H148</f>
        <v>　</v>
      </c>
      <c r="E32" s="530"/>
      <c r="F32" s="529"/>
      <c r="G32" s="529"/>
      <c r="H32" s="529"/>
      <c r="I32" s="565"/>
    </row>
    <row r="33" spans="1:10" ht="23.25" customHeight="1">
      <c r="A33" s="466" t="s">
        <v>704</v>
      </c>
      <c r="B33" s="479" t="s">
        <v>416</v>
      </c>
      <c r="C33" s="494"/>
      <c r="D33" s="514">
        <f>'2.支出明細'!H91</f>
        <v>14328</v>
      </c>
      <c r="E33" s="531"/>
      <c r="F33" s="547"/>
      <c r="G33" s="547"/>
      <c r="H33" s="547"/>
      <c r="I33" s="566"/>
    </row>
    <row r="34" spans="1:10" ht="23.25" customHeight="1">
      <c r="A34" s="467"/>
      <c r="B34" s="480" t="s">
        <v>302</v>
      </c>
      <c r="C34" s="495"/>
      <c r="D34" s="515">
        <f>SUM(D21:D33)</f>
        <v>869086</v>
      </c>
      <c r="E34" s="532"/>
      <c r="F34" s="548"/>
      <c r="G34" s="548"/>
      <c r="H34" s="548"/>
      <c r="I34" s="567"/>
      <c r="J34" s="572"/>
    </row>
    <row r="35" spans="1:10" ht="23.25" customHeight="1">
      <c r="A35" s="467" t="s">
        <v>444</v>
      </c>
      <c r="B35" s="480" t="s">
        <v>166</v>
      </c>
      <c r="C35" s="495"/>
      <c r="D35" s="516">
        <f>'2.支出明細'!H104</f>
        <v>3259350</v>
      </c>
      <c r="E35" s="532"/>
      <c r="F35" s="548"/>
      <c r="G35" s="548"/>
      <c r="H35" s="548"/>
      <c r="I35" s="567"/>
    </row>
    <row r="36" spans="1:10" ht="23.25" customHeight="1">
      <c r="A36" s="461" t="s">
        <v>254</v>
      </c>
      <c r="B36" s="474"/>
      <c r="C36" s="496"/>
      <c r="D36" s="517">
        <f>IF(ISBLANK('1.入力表'!F5)," ",SUM(D34:D35))</f>
        <v>4128436</v>
      </c>
      <c r="E36" s="533"/>
      <c r="F36" s="549"/>
      <c r="G36" s="549"/>
      <c r="H36" s="549"/>
      <c r="I36" s="568"/>
    </row>
    <row r="37" spans="1:10" ht="23.25" customHeight="1">
      <c r="A37" s="462"/>
      <c r="B37" s="475"/>
      <c r="C37" s="497"/>
      <c r="D37" s="518"/>
      <c r="E37" s="534"/>
      <c r="F37" s="550"/>
      <c r="G37" s="550"/>
      <c r="H37" s="550"/>
      <c r="I37" s="569"/>
    </row>
    <row r="38" spans="1:10" ht="23.25" customHeight="1">
      <c r="A38" s="468" t="s">
        <v>39</v>
      </c>
      <c r="B38" s="481"/>
      <c r="C38" s="498"/>
      <c r="D38" s="516">
        <f>IF(ISBLANK('1.入力表'!F5),"",'1.入力表'!M12-'1.入力表'!F14)</f>
        <v>871564</v>
      </c>
      <c r="E38" s="535"/>
      <c r="F38" s="551" t="s">
        <v>16</v>
      </c>
      <c r="G38" s="553"/>
      <c r="H38" s="555">
        <f>'1.入力表'!S3</f>
        <v>1000000</v>
      </c>
      <c r="I38" s="570"/>
    </row>
    <row r="39" spans="1:10" ht="23.25" customHeight="1">
      <c r="A39" s="469" t="s">
        <v>500</v>
      </c>
      <c r="B39" s="469"/>
      <c r="C39" s="499"/>
      <c r="D39" s="519">
        <f>IF(ISBLANK('1.入力表'!F5),"",D38+H38+'1.入力表'!F7)</f>
        <v>1871579</v>
      </c>
      <c r="E39" s="536" t="str">
        <f>IF('1.入力表'!F7=0,"","預金利息含む(")</f>
        <v>預金利息含む(</v>
      </c>
      <c r="F39" s="552">
        <f>IF('1.入力表'!F7=0,"",'1.入力表'!F7)</f>
        <v>15</v>
      </c>
      <c r="G39" s="554" t="str">
        <f>IF('1.入力表'!F7=0,"",")")</f>
        <v>)</v>
      </c>
      <c r="H39" s="554"/>
      <c r="I39" s="571"/>
    </row>
    <row r="41" spans="1:10" ht="24.75" customHeight="1">
      <c r="B41" s="482" t="str">
        <f>IF(D39='1.入力表'!S4,"","エラー!!（通帳残高と繰越額が合いません）　相違額→")</f>
        <v/>
      </c>
      <c r="H41" s="556" t="str">
        <f>IF(D39='1.入力表'!S4,"",D39-'1.入力表'!S4)</f>
        <v/>
      </c>
      <c r="I41" s="482" t="str">
        <f>IF(D39='1.入力表'!S4,"","円")</f>
        <v/>
      </c>
    </row>
    <row r="42" spans="1:10" ht="24.75" customHeight="1"/>
  </sheetData>
  <mergeCells count="34">
    <mergeCell ref="A7:B7"/>
    <mergeCell ref="D7:I7"/>
    <mergeCell ref="C11:D11"/>
    <mergeCell ref="E11:I11"/>
    <mergeCell ref="A12:B12"/>
    <mergeCell ref="E13:I13"/>
    <mergeCell ref="E14:I14"/>
    <mergeCell ref="A16:B16"/>
    <mergeCell ref="E16:I16"/>
    <mergeCell ref="E21:I21"/>
    <mergeCell ref="E22:I22"/>
    <mergeCell ref="E23:I23"/>
    <mergeCell ref="E24:I24"/>
    <mergeCell ref="E25:I25"/>
    <mergeCell ref="E26:I26"/>
    <mergeCell ref="E27:I27"/>
    <mergeCell ref="E28:I28"/>
    <mergeCell ref="E29:I29"/>
    <mergeCell ref="E30:I30"/>
    <mergeCell ref="E33:I33"/>
    <mergeCell ref="E34:I34"/>
    <mergeCell ref="E35:I35"/>
    <mergeCell ref="A38:B38"/>
    <mergeCell ref="F38:G38"/>
    <mergeCell ref="A39:B39"/>
    <mergeCell ref="F3:H4"/>
    <mergeCell ref="F5:H6"/>
    <mergeCell ref="A13:A14"/>
    <mergeCell ref="A19:B20"/>
    <mergeCell ref="C19:D20"/>
    <mergeCell ref="E19:I20"/>
    <mergeCell ref="A36:B37"/>
    <mergeCell ref="D36:D37"/>
    <mergeCell ref="E36:I37"/>
  </mergeCells>
  <phoneticPr fontId="5"/>
  <printOptions horizontalCentered="1"/>
  <pageMargins left="0.78740157480314965" right="0.39370078740157483" top="0.39370078740157483" bottom="0.39370078740157483" header="0.11811023622047245" footer="0.31496062992125984"/>
  <pageSetup paperSize="9" fitToWidth="1" fitToHeight="1" orientation="portrait" usePrinterDefaults="1" r:id="rId1"/>
  <headerFooter alignWithMargins="0">
    <oddHeader>&amp;L別紙1</oddHeader>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3:J40"/>
  <sheetViews>
    <sheetView showGridLines="0" showZeros="0" view="pageBreakPreview" topLeftCell="A13" zoomScaleSheetLayoutView="100" workbookViewId="0">
      <selection activeCell="J20" sqref="J20"/>
    </sheetView>
  </sheetViews>
  <sheetFormatPr defaultRowHeight="13.5"/>
  <cols>
    <col min="1" max="1" width="3.625" style="452" customWidth="1"/>
    <col min="2" max="2" width="23" style="452" customWidth="1"/>
    <col min="3" max="3" width="6.125" style="452" customWidth="1"/>
    <col min="4" max="4" width="11.25" style="453" customWidth="1"/>
    <col min="5" max="5" width="12.75" style="453" customWidth="1"/>
    <col min="6" max="7" width="8.25" style="452" customWidth="1"/>
    <col min="8" max="8" width="10.875" style="452" customWidth="1"/>
    <col min="9" max="9" width="6.5" style="452" customWidth="1"/>
    <col min="10" max="13" width="8.25" style="452" customWidth="1"/>
    <col min="14" max="16384" width="9" style="452" customWidth="1"/>
  </cols>
  <sheetData>
    <row r="3" spans="1:9">
      <c r="A3" s="452" t="s">
        <v>706</v>
      </c>
      <c r="F3" s="574" t="str">
        <f>IF(ISBLANK('1.入力表'!M3),"　",'1.入力表'!M3)</f>
        <v>奥安来</v>
      </c>
      <c r="G3" s="574"/>
      <c r="H3" s="574"/>
    </row>
    <row r="4" spans="1:9">
      <c r="E4" s="520" t="s">
        <v>104</v>
      </c>
      <c r="F4" s="575"/>
      <c r="G4" s="575"/>
      <c r="H4" s="575"/>
      <c r="I4" s="557" t="s">
        <v>34</v>
      </c>
    </row>
    <row r="5" spans="1:9">
      <c r="F5" s="537" t="str">
        <f>IF(ISBLANK('1.入力表'!M4),"　",'1.入力表'!M4)</f>
        <v>十神　どじょ夫</v>
      </c>
      <c r="G5" s="537"/>
      <c r="H5" s="537"/>
    </row>
    <row r="6" spans="1:9">
      <c r="E6" s="520" t="s">
        <v>117</v>
      </c>
      <c r="F6" s="538"/>
      <c r="G6" s="538"/>
      <c r="H6" s="538"/>
      <c r="I6" s="558" t="s">
        <v>73</v>
      </c>
    </row>
    <row r="7" spans="1:9" ht="39.75" customHeight="1">
      <c r="A7" s="454" t="s">
        <v>660</v>
      </c>
      <c r="B7" s="454"/>
      <c r="C7" s="483">
        <f>IF(ISBLANK('1.入力表'!M2),"　",'1.入力表'!M2)</f>
        <v>6</v>
      </c>
      <c r="D7" s="500" t="s">
        <v>257</v>
      </c>
      <c r="E7" s="500"/>
      <c r="F7" s="500"/>
      <c r="G7" s="500"/>
      <c r="H7" s="500"/>
      <c r="I7" s="500"/>
    </row>
    <row r="8" spans="1:9" ht="14.25">
      <c r="A8" s="1" t="s">
        <v>47</v>
      </c>
    </row>
    <row r="9" spans="1:9" ht="8.25" customHeight="1"/>
    <row r="10" spans="1:9" ht="14.25">
      <c r="A10" s="1" t="s">
        <v>279</v>
      </c>
    </row>
    <row r="11" spans="1:9" ht="14.25">
      <c r="A11" s="455"/>
      <c r="B11" s="470"/>
      <c r="C11" s="484" t="s">
        <v>144</v>
      </c>
      <c r="D11" s="501"/>
      <c r="E11" s="521" t="s">
        <v>57</v>
      </c>
      <c r="F11" s="539"/>
      <c r="G11" s="539"/>
      <c r="H11" s="539"/>
      <c r="I11" s="559"/>
    </row>
    <row r="12" spans="1:9" ht="24" customHeight="1">
      <c r="A12" s="456" t="s">
        <v>380</v>
      </c>
      <c r="B12" s="471"/>
      <c r="C12" s="485"/>
      <c r="D12" s="502">
        <f>'1.入力表'!F5</f>
        <v>7000000</v>
      </c>
      <c r="E12" s="522"/>
      <c r="F12" s="540"/>
      <c r="G12" s="540"/>
      <c r="H12" s="540"/>
      <c r="I12" s="560"/>
    </row>
    <row r="13" spans="1:9" ht="24" customHeight="1">
      <c r="A13" s="457" t="s">
        <v>506</v>
      </c>
      <c r="B13" s="472" t="s">
        <v>455</v>
      </c>
      <c r="C13" s="486"/>
      <c r="D13" s="503">
        <f>IF('1.入力表'!F10=0,"　",'1.入力表'!F10)</f>
        <v>2000000</v>
      </c>
      <c r="E13" s="523" t="str">
        <f>IF(ISBLANK('1.入力表'!H10)," ",'1.入力表'!H10)</f>
        <v>耕地面積により配分</v>
      </c>
      <c r="F13" s="541"/>
      <c r="G13" s="541"/>
      <c r="H13" s="541"/>
      <c r="I13" s="561"/>
    </row>
    <row r="14" spans="1:9" ht="24" customHeight="1">
      <c r="A14" s="458"/>
      <c r="B14" s="473" t="s">
        <v>118</v>
      </c>
      <c r="C14" s="487"/>
      <c r="D14" s="504">
        <f>IF('1.入力表'!M12=0,"　",'1.入力表'!M12)</f>
        <v>5000000</v>
      </c>
      <c r="E14" s="524" t="str">
        <f>IF(ISBLANK('1.入力表'!R12)," ",'1.入力表'!R12)</f>
        <v>協定者で均等に按分</v>
      </c>
      <c r="F14" s="542"/>
      <c r="G14" s="542"/>
      <c r="H14" s="542"/>
      <c r="I14" s="562"/>
    </row>
    <row r="15" spans="1:9" ht="9" customHeight="1">
      <c r="A15" s="459"/>
      <c r="B15" s="459"/>
      <c r="C15" s="459"/>
      <c r="D15" s="505"/>
      <c r="E15" s="525"/>
      <c r="F15" s="525"/>
      <c r="G15" s="525"/>
      <c r="H15" s="525"/>
      <c r="I15" s="525"/>
    </row>
    <row r="16" spans="1:9" ht="9.75" customHeight="1">
      <c r="D16" s="507"/>
    </row>
    <row r="17" spans="1:10" ht="14.25">
      <c r="A17" s="1" t="s">
        <v>169</v>
      </c>
      <c r="D17" s="507"/>
    </row>
    <row r="18" spans="1:10" ht="13.5" customHeight="1">
      <c r="A18" s="461" t="s">
        <v>106</v>
      </c>
      <c r="B18" s="474"/>
      <c r="C18" s="489" t="s">
        <v>126</v>
      </c>
      <c r="D18" s="508"/>
      <c r="E18" s="461" t="s">
        <v>134</v>
      </c>
      <c r="F18" s="543"/>
      <c r="G18" s="543"/>
      <c r="H18" s="543"/>
      <c r="I18" s="474"/>
    </row>
    <row r="19" spans="1:10" ht="33" customHeight="1">
      <c r="A19" s="462"/>
      <c r="B19" s="475"/>
      <c r="C19" s="490"/>
      <c r="D19" s="509"/>
      <c r="E19" s="462"/>
      <c r="F19" s="544"/>
      <c r="G19" s="544"/>
      <c r="H19" s="544"/>
      <c r="I19" s="475"/>
    </row>
    <row r="20" spans="1:10" ht="24" customHeight="1">
      <c r="A20" s="463" t="s">
        <v>354</v>
      </c>
      <c r="B20" s="476" t="s">
        <v>27</v>
      </c>
      <c r="C20" s="491"/>
      <c r="D20" s="511">
        <f t="shared" ref="D20:D32" si="0">J20</f>
        <v>120000</v>
      </c>
      <c r="E20" s="527"/>
      <c r="F20" s="545"/>
      <c r="G20" s="545"/>
      <c r="H20" s="545"/>
      <c r="I20" s="563"/>
      <c r="J20" s="452">
        <f>SUMIFS(金銭出納簿!G:G,金銭出納簿!C:C,"〇",金銭出納簿!E:E,B20)</f>
        <v>120000</v>
      </c>
    </row>
    <row r="21" spans="1:10" ht="24" customHeight="1">
      <c r="A21" s="464" t="s">
        <v>356</v>
      </c>
      <c r="B21" s="477" t="s">
        <v>699</v>
      </c>
      <c r="C21" s="492"/>
      <c r="D21" s="511">
        <f t="shared" si="0"/>
        <v>12700</v>
      </c>
      <c r="E21" s="528"/>
      <c r="F21" s="546"/>
      <c r="G21" s="546"/>
      <c r="H21" s="546"/>
      <c r="I21" s="564"/>
      <c r="J21" s="452">
        <f>SUMIFS(金銭出納簿!G:G,金銭出納簿!C:C,"〇",金銭出納簿!E:E,B21)</f>
        <v>12700</v>
      </c>
    </row>
    <row r="22" spans="1:10" ht="24" customHeight="1">
      <c r="A22" s="464" t="s">
        <v>265</v>
      </c>
      <c r="B22" s="573" t="s">
        <v>374</v>
      </c>
      <c r="C22" s="492"/>
      <c r="D22" s="511">
        <f t="shared" si="0"/>
        <v>250355</v>
      </c>
      <c r="E22" s="528"/>
      <c r="F22" s="546"/>
      <c r="G22" s="546"/>
      <c r="H22" s="546"/>
      <c r="I22" s="564"/>
      <c r="J22" s="452">
        <f>SUMIFS(金銭出納簿!G:G,金銭出納簿!C:C,"〇",金銭出納簿!E:E,B22)</f>
        <v>250355</v>
      </c>
    </row>
    <row r="23" spans="1:10" ht="24" customHeight="1">
      <c r="A23" s="464" t="s">
        <v>343</v>
      </c>
      <c r="B23" s="573" t="s">
        <v>375</v>
      </c>
      <c r="C23" s="492"/>
      <c r="D23" s="511">
        <f t="shared" si="0"/>
        <v>201123</v>
      </c>
      <c r="E23" s="528"/>
      <c r="F23" s="546"/>
      <c r="G23" s="546"/>
      <c r="H23" s="546"/>
      <c r="I23" s="564"/>
      <c r="J23" s="452">
        <f>SUMIFS(金銭出納簿!G:G,金銭出納簿!C:C,"〇",金銭出納簿!E:E,B23)</f>
        <v>201123</v>
      </c>
    </row>
    <row r="24" spans="1:10" ht="24" customHeight="1">
      <c r="A24" s="464" t="s">
        <v>358</v>
      </c>
      <c r="B24" s="477" t="s">
        <v>204</v>
      </c>
      <c r="C24" s="492"/>
      <c r="D24" s="511">
        <f t="shared" si="0"/>
        <v>56200</v>
      </c>
      <c r="E24" s="528"/>
      <c r="F24" s="546"/>
      <c r="G24" s="546"/>
      <c r="H24" s="546"/>
      <c r="I24" s="564"/>
      <c r="J24" s="452">
        <f>SUMIFS(金銭出納簿!G:G,金銭出納簿!C:C,"〇",金銭出納簿!E:E,B24)</f>
        <v>56200</v>
      </c>
    </row>
    <row r="25" spans="1:10" ht="24" customHeight="1">
      <c r="A25" s="464" t="s">
        <v>360</v>
      </c>
      <c r="B25" s="477" t="s">
        <v>376</v>
      </c>
      <c r="C25" s="492"/>
      <c r="D25" s="511">
        <f t="shared" si="0"/>
        <v>3372350</v>
      </c>
      <c r="E25" s="528"/>
      <c r="F25" s="546"/>
      <c r="G25" s="546"/>
      <c r="H25" s="546"/>
      <c r="I25" s="564"/>
      <c r="J25" s="452">
        <f>SUMIFS(金銭出納簿!G:G,金銭出納簿!C:C,"〇",金銭出納簿!E:E,B25)</f>
        <v>3372350</v>
      </c>
    </row>
    <row r="26" spans="1:10" ht="24" customHeight="1">
      <c r="A26" s="464" t="s">
        <v>362</v>
      </c>
      <c r="B26" s="477" t="s">
        <v>658</v>
      </c>
      <c r="C26" s="492"/>
      <c r="D26" s="511">
        <f t="shared" si="0"/>
        <v>19800</v>
      </c>
      <c r="E26" s="528"/>
      <c r="F26" s="546"/>
      <c r="G26" s="546"/>
      <c r="H26" s="546"/>
      <c r="I26" s="564"/>
      <c r="J26" s="452">
        <f>SUMIFS(金銭出納簿!G:G,金銭出納簿!C:C,"〇",金銭出納簿!E:E,B26)</f>
        <v>19800</v>
      </c>
    </row>
    <row r="27" spans="1:10" ht="24" customHeight="1">
      <c r="A27" s="464" t="s">
        <v>366</v>
      </c>
      <c r="B27" s="477" t="s">
        <v>85</v>
      </c>
      <c r="C27" s="492"/>
      <c r="D27" s="511">
        <f t="shared" si="0"/>
        <v>13980</v>
      </c>
      <c r="E27" s="528"/>
      <c r="F27" s="546"/>
      <c r="G27" s="546"/>
      <c r="H27" s="546"/>
      <c r="I27" s="564"/>
      <c r="J27" s="452">
        <f>SUMIFS(金銭出納簿!G:G,金銭出納簿!C:C,"〇",金銭出納簿!E:E,B27)</f>
        <v>13980</v>
      </c>
    </row>
    <row r="28" spans="1:10" ht="24" customHeight="1">
      <c r="A28" s="464" t="s">
        <v>367</v>
      </c>
      <c r="B28" s="477" t="s">
        <v>378</v>
      </c>
      <c r="C28" s="492"/>
      <c r="D28" s="511">
        <f t="shared" si="0"/>
        <v>0</v>
      </c>
      <c r="E28" s="528"/>
      <c r="F28" s="546"/>
      <c r="G28" s="546"/>
      <c r="H28" s="546"/>
      <c r="I28" s="564"/>
      <c r="J28" s="452">
        <f>SUMIFS(金銭出納簿!G:G,金銭出納簿!C:C,"〇",金銭出納簿!E:E,B28)</f>
        <v>0</v>
      </c>
    </row>
    <row r="29" spans="1:10" ht="24" customHeight="1">
      <c r="A29" s="464" t="s">
        <v>368</v>
      </c>
      <c r="B29" s="477" t="s">
        <v>113</v>
      </c>
      <c r="C29" s="492"/>
      <c r="D29" s="511">
        <f t="shared" si="0"/>
        <v>0</v>
      </c>
      <c r="E29" s="528"/>
      <c r="F29" s="546"/>
      <c r="G29" s="546"/>
      <c r="H29" s="546"/>
      <c r="I29" s="564"/>
      <c r="J29" s="452">
        <f>SUMIFS(金銭出納簿!G:G,金銭出納簿!C:C,"〇",金銭出納簿!E:E,B29)</f>
        <v>0</v>
      </c>
    </row>
    <row r="30" spans="1:10" ht="24" customHeight="1">
      <c r="A30" s="465" t="s">
        <v>701</v>
      </c>
      <c r="B30" s="478" t="s">
        <v>351</v>
      </c>
      <c r="C30" s="493"/>
      <c r="D30" s="511">
        <f t="shared" si="0"/>
        <v>67600</v>
      </c>
      <c r="E30" s="530"/>
      <c r="F30" s="529"/>
      <c r="G30" s="529"/>
      <c r="H30" s="529"/>
      <c r="I30" s="565"/>
      <c r="J30" s="452">
        <f>SUMIFS(金銭出納簿!G:G,金銭出納簿!C:C,"〇",金銭出納簿!E:E,B30)</f>
        <v>67600</v>
      </c>
    </row>
    <row r="31" spans="1:10" ht="24" customHeight="1">
      <c r="A31" s="465" t="s">
        <v>702</v>
      </c>
      <c r="B31" s="478" t="s">
        <v>110</v>
      </c>
      <c r="C31" s="493"/>
      <c r="D31" s="511">
        <f t="shared" si="0"/>
        <v>0</v>
      </c>
      <c r="E31" s="530"/>
      <c r="F31" s="529"/>
      <c r="G31" s="529"/>
      <c r="H31" s="529"/>
      <c r="I31" s="565"/>
      <c r="J31" s="452">
        <f>SUMIFS(金銭出納簿!G:G,金銭出納簿!C:C,"〇",金銭出納簿!E:E,B31)</f>
        <v>0</v>
      </c>
    </row>
    <row r="32" spans="1:10" ht="24" customHeight="1">
      <c r="A32" s="465" t="s">
        <v>704</v>
      </c>
      <c r="B32" s="478" t="s">
        <v>416</v>
      </c>
      <c r="C32" s="493"/>
      <c r="D32" s="511">
        <f t="shared" si="0"/>
        <v>14328</v>
      </c>
      <c r="E32" s="530"/>
      <c r="F32" s="529"/>
      <c r="G32" s="529"/>
      <c r="H32" s="529"/>
      <c r="I32" s="565"/>
      <c r="J32" s="452">
        <f>SUMIFS(金銭出納簿!G:G,金銭出納簿!C:C,"〇",金銭出納簿!E:E,B32)</f>
        <v>14328</v>
      </c>
    </row>
    <row r="33" spans="1:10" ht="24" customHeight="1">
      <c r="A33" s="467"/>
      <c r="B33" s="480" t="s">
        <v>302</v>
      </c>
      <c r="C33" s="495"/>
      <c r="D33" s="516">
        <f>SUM(D20:D32)</f>
        <v>4128436</v>
      </c>
      <c r="E33" s="532"/>
      <c r="F33" s="548"/>
      <c r="G33" s="548"/>
      <c r="H33" s="548"/>
      <c r="I33" s="567"/>
      <c r="J33" s="452">
        <f>SUMIFS(金銭出納簿!G:G,金銭出納簿!C:C,"〇",金銭出納簿!E:E,B33)</f>
        <v>0</v>
      </c>
    </row>
    <row r="34" spans="1:10" ht="24" customHeight="1">
      <c r="A34" s="467" t="s">
        <v>444</v>
      </c>
      <c r="B34" s="480" t="s">
        <v>166</v>
      </c>
      <c r="C34" s="495"/>
      <c r="D34" s="516">
        <f>J34</f>
        <v>0</v>
      </c>
      <c r="E34" s="532"/>
      <c r="F34" s="548"/>
      <c r="G34" s="548"/>
      <c r="H34" s="548"/>
      <c r="I34" s="567"/>
      <c r="J34" s="452">
        <f>SUMIFS(金銭出納簿!G:G,金銭出納簿!C:C,"〇",金銭出納簿!E:E,B34)</f>
        <v>0</v>
      </c>
    </row>
    <row r="35" spans="1:10" ht="12" customHeight="1">
      <c r="A35" s="461" t="s">
        <v>254</v>
      </c>
      <c r="B35" s="474"/>
      <c r="C35" s="496"/>
      <c r="D35" s="517">
        <f>IF(ISBLANK('1.入力表'!F5)," ",SUM(D33:D34))</f>
        <v>4128436</v>
      </c>
      <c r="E35" s="533"/>
      <c r="F35" s="549"/>
      <c r="G35" s="549"/>
      <c r="H35" s="549"/>
      <c r="I35" s="568"/>
    </row>
    <row r="36" spans="1:10" ht="12" customHeight="1">
      <c r="A36" s="462"/>
      <c r="B36" s="475"/>
      <c r="C36" s="497"/>
      <c r="D36" s="518"/>
      <c r="E36" s="534"/>
      <c r="F36" s="550"/>
      <c r="G36" s="550"/>
      <c r="H36" s="550"/>
      <c r="I36" s="569"/>
    </row>
    <row r="37" spans="1:10" ht="24" customHeight="1">
      <c r="A37" s="468" t="s">
        <v>39</v>
      </c>
      <c r="B37" s="481"/>
      <c r="C37" s="498"/>
      <c r="D37" s="516">
        <f>IF(ISBLANK('1.入力表'!F5),"",'1.入力表'!M12-'1.入力表'!F14)</f>
        <v>871564</v>
      </c>
      <c r="E37" s="535"/>
      <c r="F37" s="551" t="s">
        <v>16</v>
      </c>
      <c r="G37" s="553"/>
      <c r="H37" s="555">
        <f>'1.入力表'!S3</f>
        <v>1000000</v>
      </c>
      <c r="I37" s="570"/>
    </row>
    <row r="38" spans="1:10" ht="24" customHeight="1">
      <c r="A38" s="469" t="s">
        <v>500</v>
      </c>
      <c r="B38" s="469"/>
      <c r="C38" s="499"/>
      <c r="D38" s="519">
        <f>IF(ISBLANK('1.入力表'!F5),"",D37+H37+'1.入力表'!F7)</f>
        <v>1871579</v>
      </c>
      <c r="E38" s="536" t="str">
        <f>IF('1.入力表'!F7=0,"","預金利息含む(")</f>
        <v>預金利息含む(</v>
      </c>
      <c r="F38" s="552">
        <f>IF('1.入力表'!F7=0,"",'1.入力表'!F7)</f>
        <v>15</v>
      </c>
      <c r="G38" s="554" t="str">
        <f>IF('1.入力表'!F7=0,"",")")</f>
        <v>)</v>
      </c>
      <c r="H38" s="554"/>
      <c r="I38" s="571"/>
    </row>
    <row r="39" spans="1:10" ht="24.75" customHeight="1"/>
    <row r="40" spans="1:10" ht="17.25">
      <c r="B40" s="482" t="str">
        <f>IF(D38='1.入力表'!S4,"","エラー!!（通帳残高と繰越額が合いません）　相違額→")</f>
        <v/>
      </c>
      <c r="H40" s="556" t="str">
        <f>IF(D38='1.入力表'!S4,"",D38-'1.入力表'!S4)</f>
        <v/>
      </c>
      <c r="I40" s="482" t="str">
        <f>IF(D38='1.入力表'!S4,"","円")</f>
        <v/>
      </c>
    </row>
  </sheetData>
  <mergeCells count="31">
    <mergeCell ref="A7:B7"/>
    <mergeCell ref="D7:I7"/>
    <mergeCell ref="C11:D11"/>
    <mergeCell ref="E11:I11"/>
    <mergeCell ref="A12:B12"/>
    <mergeCell ref="E13:I13"/>
    <mergeCell ref="E14:I14"/>
    <mergeCell ref="E20:I20"/>
    <mergeCell ref="E21:I21"/>
    <mergeCell ref="E22:I22"/>
    <mergeCell ref="E23:I23"/>
    <mergeCell ref="E24:I24"/>
    <mergeCell ref="E25:I25"/>
    <mergeCell ref="E26:I26"/>
    <mergeCell ref="E27:I27"/>
    <mergeCell ref="E28:I28"/>
    <mergeCell ref="E29:I29"/>
    <mergeCell ref="E33:I33"/>
    <mergeCell ref="E34:I34"/>
    <mergeCell ref="A37:B37"/>
    <mergeCell ref="F37:G37"/>
    <mergeCell ref="A38:B38"/>
    <mergeCell ref="F3:H4"/>
    <mergeCell ref="F5:H6"/>
    <mergeCell ref="A13:A14"/>
    <mergeCell ref="A18:B19"/>
    <mergeCell ref="C18:D19"/>
    <mergeCell ref="E18:I19"/>
    <mergeCell ref="A35:B36"/>
    <mergeCell ref="D35:D36"/>
    <mergeCell ref="E35:I36"/>
  </mergeCells>
  <phoneticPr fontId="5"/>
  <printOptions horizontalCentered="1"/>
  <pageMargins left="0.78740157480314965" right="0.39370078740157483" top="0.39370078740157483" bottom="0.39370078740157483" header="0.11811023622047245" footer="0.31496062992125984"/>
  <pageSetup paperSize="9" fitToWidth="1" fitToHeight="1" orientation="portrait" usePrinterDefaults="1" r:id="rId1"/>
  <headerFooter alignWithMargins="0">
    <oddHeader>&amp;L別紙1</oddHeader>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Q53"/>
  <sheetViews>
    <sheetView view="pageBreakPreview" zoomScaleNormal="55" zoomScaleSheetLayoutView="100" workbookViewId="0">
      <pane xSplit="1" ySplit="4" topLeftCell="B5" activePane="bottomRight" state="frozen"/>
      <selection pane="topRight"/>
      <selection pane="bottomLeft"/>
      <selection pane="bottomRight" activeCell="F30" sqref="F30"/>
    </sheetView>
  </sheetViews>
  <sheetFormatPr defaultRowHeight="13.5"/>
  <cols>
    <col min="1" max="1" width="21.375" style="452" customWidth="1"/>
    <col min="2" max="2" width="14.25" style="576" customWidth="1"/>
    <col min="3" max="6" width="14.25" style="52" customWidth="1"/>
    <col min="7" max="8" width="3.625" style="52" customWidth="1"/>
    <col min="9" max="9" width="15.5" style="52" customWidth="1"/>
    <col min="10" max="10" width="13.875" style="52" customWidth="1"/>
    <col min="11" max="11" width="15.5" style="52" customWidth="1"/>
    <col min="12" max="12" width="13.25" style="52" customWidth="1"/>
    <col min="13" max="13" width="15.5" style="52" customWidth="1"/>
    <col min="14" max="14" width="13.75" style="52" customWidth="1"/>
    <col min="15" max="15" width="17.125" style="52" customWidth="1"/>
    <col min="17" max="17" width="9" style="577" customWidth="1"/>
  </cols>
  <sheetData>
    <row r="1" spans="1:17" s="578" customFormat="1" ht="17.25" customHeight="1">
      <c r="A1" s="578" t="s">
        <v>132</v>
      </c>
      <c r="B1" s="589"/>
      <c r="C1" s="600"/>
      <c r="D1" s="609" t="str">
        <f>'1.入力表'!M3</f>
        <v>奥安来</v>
      </c>
      <c r="E1" s="609"/>
      <c r="F1" s="609"/>
      <c r="G1" s="623"/>
      <c r="H1" s="623"/>
      <c r="I1" s="625" t="s">
        <v>273</v>
      </c>
      <c r="J1" s="625"/>
      <c r="K1" s="625"/>
      <c r="L1" s="600"/>
      <c r="M1" s="640" t="str">
        <f>'1.入力表'!M3</f>
        <v>奥安来</v>
      </c>
      <c r="N1" s="640"/>
      <c r="O1" s="640"/>
      <c r="Q1" s="650"/>
    </row>
    <row r="2" spans="1:17" s="578" customFormat="1" ht="13.5" customHeight="1">
      <c r="A2" s="580" t="s">
        <v>122</v>
      </c>
      <c r="B2" s="590" t="s">
        <v>171</v>
      </c>
      <c r="C2" s="599" t="s">
        <v>136</v>
      </c>
      <c r="D2" s="610"/>
      <c r="E2" s="599" t="s">
        <v>143</v>
      </c>
      <c r="F2" s="610"/>
      <c r="G2" s="623"/>
      <c r="H2" s="623"/>
      <c r="I2" s="626" t="s">
        <v>59</v>
      </c>
      <c r="J2" s="630"/>
      <c r="K2" s="638"/>
      <c r="L2" s="626" t="s">
        <v>149</v>
      </c>
      <c r="M2" s="638"/>
      <c r="N2" s="642" t="s">
        <v>21</v>
      </c>
      <c r="O2" s="648" t="s">
        <v>152</v>
      </c>
      <c r="Q2" s="650"/>
    </row>
    <row r="3" spans="1:17" s="578" customFormat="1" ht="42.75" customHeight="1">
      <c r="A3" s="581"/>
      <c r="B3" s="591" t="s">
        <v>135</v>
      </c>
      <c r="C3" s="601" t="s">
        <v>135</v>
      </c>
      <c r="D3" s="611" t="s">
        <v>126</v>
      </c>
      <c r="E3" s="601" t="s">
        <v>135</v>
      </c>
      <c r="F3" s="611" t="s">
        <v>126</v>
      </c>
      <c r="G3" s="623"/>
      <c r="H3" s="623"/>
      <c r="I3" s="627" t="s">
        <v>250</v>
      </c>
      <c r="J3" s="631" t="s">
        <v>0</v>
      </c>
      <c r="K3" s="611" t="s">
        <v>148</v>
      </c>
      <c r="L3" s="639" t="s">
        <v>253</v>
      </c>
      <c r="M3" s="641" t="s">
        <v>97</v>
      </c>
      <c r="N3" s="643"/>
      <c r="O3" s="649" t="s">
        <v>32</v>
      </c>
      <c r="Q3" s="650"/>
    </row>
    <row r="4" spans="1:17" s="578" customFormat="1" ht="13.5" customHeight="1">
      <c r="A4" s="582"/>
      <c r="B4" s="592" t="s">
        <v>159</v>
      </c>
      <c r="C4" s="602" t="s">
        <v>162</v>
      </c>
      <c r="D4" s="612" t="s">
        <v>445</v>
      </c>
      <c r="E4" s="602" t="s">
        <v>153</v>
      </c>
      <c r="F4" s="612" t="s">
        <v>9</v>
      </c>
      <c r="G4" s="623"/>
      <c r="H4" s="623"/>
      <c r="I4" s="628" t="s">
        <v>248</v>
      </c>
      <c r="J4" s="632" t="s">
        <v>84</v>
      </c>
      <c r="K4" s="612" t="s">
        <v>156</v>
      </c>
      <c r="L4" s="628" t="s">
        <v>446</v>
      </c>
      <c r="M4" s="612" t="s">
        <v>90</v>
      </c>
      <c r="N4" s="644" t="s">
        <v>405</v>
      </c>
      <c r="O4" s="592" t="s">
        <v>180</v>
      </c>
      <c r="Q4" s="650"/>
    </row>
    <row r="5" spans="1:17" s="579" customFormat="1" ht="26.25" customHeight="1">
      <c r="A5" s="583" t="str">
        <f>IF(ISBLANK('1.入力表'!D19)," ",'1.入力表'!D19)</f>
        <v>十神　どじょ夫</v>
      </c>
      <c r="B5" s="593">
        <f>IF(ISBLANK('1.入力表'!G19)," ",'1.入力表'!G19)</f>
        <v>200000</v>
      </c>
      <c r="C5" s="603">
        <f>IF(ISBLANK('1.入力表'!D19)," ",'1.入力表'!M19)</f>
        <v>500000</v>
      </c>
      <c r="D5" s="613">
        <f>IF(ISBLANK('1.入力表'!D19)," ",'1.入力表'!S19)</f>
        <v>412840</v>
      </c>
      <c r="E5" s="618">
        <f>IF(ISBLANK('1.入力表'!D19)," ",B5+C5)</f>
        <v>700000</v>
      </c>
      <c r="F5" s="621">
        <f t="shared" ref="F5:F50" si="0">D5</f>
        <v>412840</v>
      </c>
      <c r="G5" s="624"/>
      <c r="H5" s="624"/>
      <c r="I5" s="618">
        <f t="shared" ref="I5:I32" si="1">E5</f>
        <v>700000</v>
      </c>
      <c r="J5" s="633">
        <f>IF(ISBLANK('1.入力表'!D19)," ",'1.入力表'!H19)</f>
        <v>46000</v>
      </c>
      <c r="K5" s="621">
        <f>IF(ISBLANK('1.入力表'!D19)," ",I5+J5)</f>
        <v>746000</v>
      </c>
      <c r="L5" s="618">
        <f>IF(ISBLANK('1.入力表'!D19)," ",'1.入力表'!R19)</f>
        <v>325935</v>
      </c>
      <c r="M5" s="621">
        <f>IF(ISBLANK('1.入力表'!D19)," ",'1.入力表'!P19)</f>
        <v>86905</v>
      </c>
      <c r="N5" s="645">
        <f>'6.償却資産明細書'!Q19</f>
        <v>21039</v>
      </c>
      <c r="O5" s="593">
        <f>IF(ISBLANK('1.入力表'!D19)," ",(IF(ISBLANK('6.償却資産明細書'!E19),K5-M5,K5-M5-N5)))</f>
        <v>638056</v>
      </c>
      <c r="Q5" s="651"/>
    </row>
    <row r="6" spans="1:17" s="579" customFormat="1" ht="26.25" customHeight="1">
      <c r="A6" s="584" t="str">
        <f>IF(ISBLANK('1.入力表'!D20)," ",'1.入力表'!D20)</f>
        <v>社日　さくら</v>
      </c>
      <c r="B6" s="594">
        <f>IF(ISBLANK('1.入力表'!G20)," ",'1.入力表'!G20)</f>
        <v>200000</v>
      </c>
      <c r="C6" s="604">
        <f>IF(ISBLANK('1.入力表'!D20)," ",'1.入力表'!M20)</f>
        <v>500000</v>
      </c>
      <c r="D6" s="614">
        <f>IF(ISBLANK('1.入力表'!D20)," ",'1.入力表'!S20)</f>
        <v>412844</v>
      </c>
      <c r="E6" s="604">
        <f>IF(ISBLANK('1.入力表'!D20)," ",B6+C6)</f>
        <v>700000</v>
      </c>
      <c r="F6" s="614">
        <f t="shared" si="0"/>
        <v>412844</v>
      </c>
      <c r="G6" s="624"/>
      <c r="H6" s="624"/>
      <c r="I6" s="604">
        <f t="shared" si="1"/>
        <v>700000</v>
      </c>
      <c r="J6" s="634">
        <f>IF(ISBLANK('1.入力表'!D20)," ",'1.入力表'!H20)</f>
        <v>46000</v>
      </c>
      <c r="K6" s="614">
        <f>IF(ISBLANK('1.入力表'!D20)," ",I6+J6)</f>
        <v>746000</v>
      </c>
      <c r="L6" s="604">
        <f>IF(ISBLANK('1.入力表'!D20)," ",'1.入力表'!R20)</f>
        <v>325935</v>
      </c>
      <c r="M6" s="614">
        <f>IF(ISBLANK('1.入力表'!D20)," ",'1.入力表'!P20)</f>
        <v>86909</v>
      </c>
      <c r="N6" s="645">
        <f>'6.償却資産明細書'!Q20</f>
        <v>21044</v>
      </c>
      <c r="O6" s="594">
        <f>IF(ISBLANK('1.入力表'!D20)," ",(IF(ISBLANK('6.償却資産明細書'!E20),K6-M6,K6-M6-N6)))</f>
        <v>638047</v>
      </c>
      <c r="Q6" s="651"/>
    </row>
    <row r="7" spans="1:17" s="579" customFormat="1" ht="26.25" customHeight="1">
      <c r="A7" s="584" t="str">
        <f>IF(ISBLANK('1.入力表'!D21)," ",'1.入力表'!D21)</f>
        <v>尼子　経久</v>
      </c>
      <c r="B7" s="594">
        <f>IF(ISBLANK('1.入力表'!G21)," ",'1.入力表'!G21)</f>
        <v>0</v>
      </c>
      <c r="C7" s="604">
        <f>IF(ISBLANK('1.入力表'!D21)," ",'1.入力表'!M21)</f>
        <v>0</v>
      </c>
      <c r="D7" s="614">
        <f>IF(ISBLANK('1.入力表'!D21)," ",'1.入力表'!S21)</f>
        <v>0</v>
      </c>
      <c r="E7" s="604">
        <f>IF(ISBLANK('1.入力表'!D21)," ",B7+C7)</f>
        <v>0</v>
      </c>
      <c r="F7" s="614">
        <f t="shared" si="0"/>
        <v>0</v>
      </c>
      <c r="G7" s="624"/>
      <c r="H7" s="624"/>
      <c r="I7" s="604">
        <f t="shared" si="1"/>
        <v>0</v>
      </c>
      <c r="J7" s="634">
        <f>IF(ISBLANK('1.入力表'!D21)," ",'1.入力表'!H21)</f>
        <v>40000</v>
      </c>
      <c r="K7" s="614">
        <f>IF(ISBLANK('1.入力表'!D21)," ",I7+J7)</f>
        <v>40000</v>
      </c>
      <c r="L7" s="604">
        <f>IF(ISBLANK('1.入力表'!D21)," ",'1.入力表'!R21)</f>
        <v>0</v>
      </c>
      <c r="M7" s="614">
        <f>IF(ISBLANK('1.入力表'!D21)," ",'1.入力表'!P21)</f>
        <v>0</v>
      </c>
      <c r="N7" s="645">
        <f>'6.償却資産明細書'!Q21</f>
        <v>0</v>
      </c>
      <c r="O7" s="594">
        <f>IF(ISBLANK('1.入力表'!D21)," ",(IF(ISBLANK('6.償却資産明細書'!E21),K7-M7,K7-M7-N7)))</f>
        <v>40000</v>
      </c>
      <c r="Q7" s="651"/>
    </row>
    <row r="8" spans="1:17" s="579" customFormat="1" ht="26.25" customHeight="1">
      <c r="A8" s="584" t="str">
        <f>IF(ISBLANK('1.入力表'!D22)," ",'1.入力表'!D22)</f>
        <v>尼子　晴久</v>
      </c>
      <c r="B8" s="594">
        <f>IF(ISBLANK('1.入力表'!G22)," ",'1.入力表'!G22)</f>
        <v>200000</v>
      </c>
      <c r="C8" s="604">
        <f>IF(ISBLANK('1.入力表'!D22)," ",'1.入力表'!M22)</f>
        <v>500000</v>
      </c>
      <c r="D8" s="614">
        <f>IF(ISBLANK('1.入力表'!D22)," ",'1.入力表'!S22)</f>
        <v>412844</v>
      </c>
      <c r="E8" s="604">
        <f>IF(ISBLANK('1.入力表'!D22)," ",B8+C8)</f>
        <v>700000</v>
      </c>
      <c r="F8" s="614">
        <f t="shared" si="0"/>
        <v>412844</v>
      </c>
      <c r="G8" s="624"/>
      <c r="H8" s="624"/>
      <c r="I8" s="604">
        <f t="shared" si="1"/>
        <v>700000</v>
      </c>
      <c r="J8" s="634">
        <f>IF(ISBLANK('1.入力表'!D22)," ",'1.入力表'!H22)</f>
        <v>18000</v>
      </c>
      <c r="K8" s="614">
        <f>IF(ISBLANK('1.入力表'!D22)," ",I8+J8)</f>
        <v>718000</v>
      </c>
      <c r="L8" s="604">
        <f>IF(ISBLANK('1.入力表'!D22)," ",'1.入力表'!R22)</f>
        <v>325935</v>
      </c>
      <c r="M8" s="614">
        <f>IF(ISBLANK('1.入力表'!D22)," ",'1.入力表'!P22)</f>
        <v>86909</v>
      </c>
      <c r="N8" s="645">
        <f>'6.償却資産明細書'!Q22</f>
        <v>21044</v>
      </c>
      <c r="O8" s="594">
        <f>IF(ISBLANK('1.入力表'!D22)," ",(IF(ISBLANK('6.償却資産明細書'!E22),K8-M8,K8-M8-N8)))</f>
        <v>610047</v>
      </c>
      <c r="Q8" s="651"/>
    </row>
    <row r="9" spans="1:17" s="579" customFormat="1" ht="26.25" customHeight="1">
      <c r="A9" s="584" t="str">
        <f>IF(ISBLANK('1.入力表'!D23)," ",'1.入力表'!D23)</f>
        <v>比婆山　茶太郎</v>
      </c>
      <c r="B9" s="594">
        <f>IF(ISBLANK('1.入力表'!G23)," ",'1.入力表'!G23)</f>
        <v>200000</v>
      </c>
      <c r="C9" s="604">
        <f>IF(ISBLANK('1.入力表'!D23)," ",'1.入力表'!M23)</f>
        <v>500000</v>
      </c>
      <c r="D9" s="614">
        <f>IF(ISBLANK('1.入力表'!D23)," ",'1.入力表'!S23)</f>
        <v>412844</v>
      </c>
      <c r="E9" s="604">
        <f>IF(ISBLANK('1.入力表'!D23)," ",B9+C9)</f>
        <v>700000</v>
      </c>
      <c r="F9" s="614">
        <f t="shared" si="0"/>
        <v>412844</v>
      </c>
      <c r="G9" s="624"/>
      <c r="H9" s="624"/>
      <c r="I9" s="604">
        <f t="shared" si="1"/>
        <v>700000</v>
      </c>
      <c r="J9" s="634">
        <f>IF(ISBLANK('1.入力表'!D23)," ",'1.入力表'!H23)</f>
        <v>33000</v>
      </c>
      <c r="K9" s="614">
        <f>IF(ISBLANK('1.入力表'!D23)," ",I9+J9)</f>
        <v>733000</v>
      </c>
      <c r="L9" s="604">
        <f>IF(ISBLANK('1.入力表'!D23)," ",'1.入力表'!R23)</f>
        <v>325935</v>
      </c>
      <c r="M9" s="614">
        <f>IF(ISBLANK('1.入力表'!D23)," ",'1.入力表'!P23)</f>
        <v>86909</v>
      </c>
      <c r="N9" s="645">
        <f>'6.償却資産明細書'!Q23</f>
        <v>21044</v>
      </c>
      <c r="O9" s="594">
        <f>IF(ISBLANK('1.入力表'!D23)," ",(IF(ISBLANK('6.償却資産明細書'!E23),K9-M9,K9-M9-N9)))</f>
        <v>625047</v>
      </c>
      <c r="Q9" s="651"/>
    </row>
    <row r="10" spans="1:17" s="579" customFormat="1" ht="26.25" customHeight="1">
      <c r="A10" s="584" t="str">
        <f>IF(ISBLANK('1.入力表'!D24)," ",'1.入力表'!D24)</f>
        <v>広瀬　二郎</v>
      </c>
      <c r="B10" s="594">
        <f>IF(ISBLANK('1.入力表'!G24)," ",'1.入力表'!G24)</f>
        <v>200000</v>
      </c>
      <c r="C10" s="604">
        <f>IF(ISBLANK('1.入力表'!D24)," ",'1.入力表'!M24)</f>
        <v>500000</v>
      </c>
      <c r="D10" s="614">
        <f>IF(ISBLANK('1.入力表'!D24)," ",'1.入力表'!S24)</f>
        <v>412844</v>
      </c>
      <c r="E10" s="604">
        <f>IF(ISBLANK('1.入力表'!D24)," ",B10+C10)</f>
        <v>700000</v>
      </c>
      <c r="F10" s="614">
        <f t="shared" si="0"/>
        <v>412844</v>
      </c>
      <c r="G10" s="624"/>
      <c r="H10" s="624"/>
      <c r="I10" s="604">
        <f t="shared" si="1"/>
        <v>700000</v>
      </c>
      <c r="J10" s="634">
        <f>IF(ISBLANK('1.入力表'!D24)," ",'1.入力表'!H24)</f>
        <v>18000</v>
      </c>
      <c r="K10" s="614">
        <f>IF(ISBLANK('1.入力表'!D24)," ",I10+J10)</f>
        <v>718000</v>
      </c>
      <c r="L10" s="604">
        <f>IF(ISBLANK('1.入力表'!D24)," ",'1.入力表'!R24)</f>
        <v>325935</v>
      </c>
      <c r="M10" s="614">
        <f>IF(ISBLANK('1.入力表'!D24)," ",'1.入力表'!P24)</f>
        <v>86909</v>
      </c>
      <c r="N10" s="645">
        <f>'6.償却資産明細書'!Q24</f>
        <v>21044</v>
      </c>
      <c r="O10" s="594">
        <f>IF(ISBLANK('1.入力表'!D24)," ",(IF(ISBLANK('6.償却資産明細書'!E24),K10-M10,K10-M10-N10)))</f>
        <v>610047</v>
      </c>
      <c r="Q10" s="651"/>
    </row>
    <row r="11" spans="1:17" s="579" customFormat="1" ht="26.25" customHeight="1">
      <c r="A11" s="584" t="str">
        <f>IF(ISBLANK('1.入力表'!D25)," ",'1.入力表'!D25)</f>
        <v>月山　かすり</v>
      </c>
      <c r="B11" s="594">
        <f>IF(ISBLANK('1.入力表'!G25)," ",'1.入力表'!G25)</f>
        <v>200000</v>
      </c>
      <c r="C11" s="604">
        <f>IF(ISBLANK('1.入力表'!D25)," ",'1.入力表'!M25)</f>
        <v>500000</v>
      </c>
      <c r="D11" s="614">
        <f>IF(ISBLANK('1.入力表'!D25)," ",'1.入力表'!S25)</f>
        <v>412844</v>
      </c>
      <c r="E11" s="604">
        <f>IF(ISBLANK('1.入力表'!D25)," ",B11+C11)</f>
        <v>700000</v>
      </c>
      <c r="F11" s="614">
        <f t="shared" si="0"/>
        <v>412844</v>
      </c>
      <c r="G11" s="624"/>
      <c r="H11" s="624"/>
      <c r="I11" s="604">
        <f t="shared" si="1"/>
        <v>700000</v>
      </c>
      <c r="J11" s="634">
        <f>IF(ISBLANK('1.入力表'!D25)," ",'1.入力表'!H25)</f>
        <v>12000</v>
      </c>
      <c r="K11" s="614">
        <f>IF(ISBLANK('1.入力表'!D25)," ",I11+J11)</f>
        <v>712000</v>
      </c>
      <c r="L11" s="604">
        <f>IF(ISBLANK('1.入力表'!D25)," ",'1.入力表'!R25)</f>
        <v>325935</v>
      </c>
      <c r="M11" s="614">
        <f>IF(ISBLANK('1.入力表'!D25)," ",'1.入力表'!P25)</f>
        <v>86909</v>
      </c>
      <c r="N11" s="645">
        <f>'6.償却資産明細書'!Q25</f>
        <v>21044</v>
      </c>
      <c r="O11" s="594">
        <f>IF(ISBLANK('1.入力表'!D25)," ",(IF(ISBLANK('6.償却資産明細書'!E25),K11-M11,K11-M11-N11)))</f>
        <v>604047</v>
      </c>
      <c r="Q11" s="651"/>
    </row>
    <row r="12" spans="1:17" s="579" customFormat="1" ht="26.25" customHeight="1">
      <c r="A12" s="584" t="str">
        <f>IF(ISBLANK('1.入力表'!D26)," ",'1.入力表'!D26)</f>
        <v>富田　城</v>
      </c>
      <c r="B12" s="594">
        <f>IF(ISBLANK('1.入力表'!G26)," ",'1.入力表'!G26)</f>
        <v>200000</v>
      </c>
      <c r="C12" s="604">
        <f>IF(ISBLANK('1.入力表'!D26)," ",'1.入力表'!M26)</f>
        <v>500000</v>
      </c>
      <c r="D12" s="614">
        <f>IF(ISBLANK('1.入力表'!D26)," ",'1.入力表'!S26)</f>
        <v>412844</v>
      </c>
      <c r="E12" s="604">
        <f>IF(ISBLANK('1.入力表'!D26)," ",B12+C12)</f>
        <v>700000</v>
      </c>
      <c r="F12" s="614">
        <f t="shared" si="0"/>
        <v>412844</v>
      </c>
      <c r="G12" s="624"/>
      <c r="H12" s="624"/>
      <c r="I12" s="604">
        <f t="shared" si="1"/>
        <v>700000</v>
      </c>
      <c r="J12" s="634">
        <f>IF(ISBLANK('1.入力表'!D26)," ",'1.入力表'!H26)</f>
        <v>18000</v>
      </c>
      <c r="K12" s="614">
        <f>IF(ISBLANK('1.入力表'!D26)," ",I12+J12)</f>
        <v>718000</v>
      </c>
      <c r="L12" s="604">
        <f>IF(ISBLANK('1.入力表'!D26)," ",'1.入力表'!R26)</f>
        <v>325935</v>
      </c>
      <c r="M12" s="614">
        <f>IF(ISBLANK('1.入力表'!D26)," ",'1.入力表'!P26)</f>
        <v>86909</v>
      </c>
      <c r="N12" s="645">
        <f>'6.償却資産明細書'!Q26</f>
        <v>21044</v>
      </c>
      <c r="O12" s="594">
        <f>IF(ISBLANK('1.入力表'!D26)," ",(IF(ISBLANK('6.償却資産明細書'!E26),K12-M12,K12-M12-N12)))</f>
        <v>610047</v>
      </c>
      <c r="Q12" s="651"/>
    </row>
    <row r="13" spans="1:17" s="579" customFormat="1" ht="26.25" customHeight="1">
      <c r="A13" s="584" t="str">
        <f>IF(ISBLANK('1.入力表'!D27)," ",'1.入力表'!D27)</f>
        <v>山中　鹿介</v>
      </c>
      <c r="B13" s="594">
        <f>IF(ISBLANK('1.入力表'!G27)," ",'1.入力表'!G27)</f>
        <v>200000</v>
      </c>
      <c r="C13" s="604">
        <f>IF(ISBLANK('1.入力表'!D27)," ",'1.入力表'!M27)</f>
        <v>500000</v>
      </c>
      <c r="D13" s="614">
        <f>IF(ISBLANK('1.入力表'!D27)," ",'1.入力表'!S27)</f>
        <v>412844</v>
      </c>
      <c r="E13" s="604">
        <f>IF(ISBLANK('1.入力表'!D27)," ",B13+C13)</f>
        <v>700000</v>
      </c>
      <c r="F13" s="614">
        <f t="shared" si="0"/>
        <v>412844</v>
      </c>
      <c r="G13" s="624"/>
      <c r="H13" s="624"/>
      <c r="I13" s="604">
        <f t="shared" si="1"/>
        <v>700000</v>
      </c>
      <c r="J13" s="634">
        <f>IF(ISBLANK('1.入力表'!D27)," ",'1.入力表'!H27)</f>
        <v>18000</v>
      </c>
      <c r="K13" s="614">
        <f>IF(ISBLANK('1.入力表'!D27)," ",I13+J13)</f>
        <v>718000</v>
      </c>
      <c r="L13" s="604">
        <f>IF(ISBLANK('1.入力表'!D27)," ",'1.入力表'!R27)</f>
        <v>325935</v>
      </c>
      <c r="M13" s="614">
        <f>IF(ISBLANK('1.入力表'!D27)," ",'1.入力表'!P27)</f>
        <v>86909</v>
      </c>
      <c r="N13" s="645">
        <f>'6.償却資産明細書'!Q27</f>
        <v>21044</v>
      </c>
      <c r="O13" s="594">
        <f>IF(ISBLANK('1.入力表'!D27)," ",(IF(ISBLANK('6.償却資産明細書'!E27),K13-M13,K13-M13-N13)))</f>
        <v>610047</v>
      </c>
      <c r="Q13" s="651"/>
    </row>
    <row r="14" spans="1:17" s="579" customFormat="1" ht="26.25" customHeight="1">
      <c r="A14" s="584" t="str">
        <f>IF(ISBLANK('1.入力表'!D28)," ",'1.入力表'!D28)</f>
        <v>安来　一郎</v>
      </c>
      <c r="B14" s="594">
        <f>IF(ISBLANK('1.入力表'!G28)," ",'1.入力表'!G28)</f>
        <v>200000</v>
      </c>
      <c r="C14" s="604">
        <f>IF(ISBLANK('1.入力表'!D28)," ",'1.入力表'!M28)</f>
        <v>500000</v>
      </c>
      <c r="D14" s="614">
        <f>IF(ISBLANK('1.入力表'!D28)," ",'1.入力表'!S28)</f>
        <v>412844</v>
      </c>
      <c r="E14" s="604">
        <f>IF(ISBLANK('1.入力表'!D28)," ",B14+C14)</f>
        <v>700000</v>
      </c>
      <c r="F14" s="614">
        <f t="shared" si="0"/>
        <v>412844</v>
      </c>
      <c r="G14" s="624"/>
      <c r="H14" s="624"/>
      <c r="I14" s="604">
        <f t="shared" si="1"/>
        <v>700000</v>
      </c>
      <c r="J14" s="634">
        <f>IF(ISBLANK('1.入力表'!D28)," ",'1.入力表'!H28)</f>
        <v>16000</v>
      </c>
      <c r="K14" s="614">
        <f>IF(ISBLANK('1.入力表'!D28)," ",I14+J14)</f>
        <v>716000</v>
      </c>
      <c r="L14" s="604">
        <f>IF(ISBLANK('1.入力表'!D28)," ",'1.入力表'!R28)</f>
        <v>325935</v>
      </c>
      <c r="M14" s="614">
        <f>IF(ISBLANK('1.入力表'!D28)," ",'1.入力表'!P28)</f>
        <v>86909</v>
      </c>
      <c r="N14" s="645">
        <f>'6.償却資産明細書'!Q28</f>
        <v>21044</v>
      </c>
      <c r="O14" s="594">
        <f>IF(ISBLANK('1.入力表'!D28)," ",(IF(ISBLANK('6.償却資産明細書'!E28),K14-M14,K14-M14-N14)))</f>
        <v>608047</v>
      </c>
      <c r="Q14" s="651"/>
    </row>
    <row r="15" spans="1:17" s="579" customFormat="1" ht="26.25" customHeight="1">
      <c r="A15" s="584" t="str">
        <f>IF(ISBLANK('1.入力表'!D29)," ",'1.入力表'!D29)</f>
        <v>伯太　三郎</v>
      </c>
      <c r="B15" s="594">
        <f>IF(ISBLANK('1.入力表'!G29)," ",'1.入力表'!G29)</f>
        <v>200000</v>
      </c>
      <c r="C15" s="604">
        <f>IF(ISBLANK('1.入力表'!D29)," ",'1.入力表'!M29)</f>
        <v>500000</v>
      </c>
      <c r="D15" s="614">
        <f>IF(ISBLANK('1.入力表'!D29)," ",'1.入力表'!S29)</f>
        <v>412844</v>
      </c>
      <c r="E15" s="604">
        <f>IF(ISBLANK('1.入力表'!D29)," ",B15+C15)</f>
        <v>700000</v>
      </c>
      <c r="F15" s="614">
        <f t="shared" si="0"/>
        <v>412844</v>
      </c>
      <c r="G15" s="624"/>
      <c r="H15" s="624"/>
      <c r="I15" s="604">
        <f t="shared" si="1"/>
        <v>700000</v>
      </c>
      <c r="J15" s="634">
        <f>IF(ISBLANK('1.入力表'!D29)," ",'1.入力表'!H29)</f>
        <v>15000</v>
      </c>
      <c r="K15" s="614">
        <f>IF(ISBLANK('1.入力表'!D29)," ",I15+J15)</f>
        <v>715000</v>
      </c>
      <c r="L15" s="604">
        <f>IF(ISBLANK('1.入力表'!D29)," ",'1.入力表'!R29)</f>
        <v>325935</v>
      </c>
      <c r="M15" s="614">
        <f>IF(ISBLANK('1.入力表'!D29)," ",'1.入力表'!P29)</f>
        <v>86909</v>
      </c>
      <c r="N15" s="645">
        <f>'6.償却資産明細書'!Q29</f>
        <v>21044</v>
      </c>
      <c r="O15" s="594">
        <f>IF(ISBLANK('1.入力表'!D29)," ",(IF(ISBLANK('6.償却資産明細書'!E29),K15-M15,K15-M15-N15)))</f>
        <v>607047</v>
      </c>
      <c r="Q15" s="651"/>
    </row>
    <row r="16" spans="1:17" s="579" customFormat="1" ht="26.25" customHeight="1">
      <c r="A16" s="584" t="str">
        <f>IF(ISBLANK('1.入力表'!D30)," ",'1.入力表'!D30)</f>
        <v xml:space="preserve"> </v>
      </c>
      <c r="B16" s="594" t="str">
        <f>IF(ISBLANK('1.入力表'!G30)," ",'1.入力表'!G30)</f>
        <v xml:space="preserve"> </v>
      </c>
      <c r="C16" s="604" t="str">
        <f>IF(ISBLANK('1.入力表'!D30)," ",'1.入力表'!M30)</f>
        <v xml:space="preserve"> </v>
      </c>
      <c r="D16" s="614" t="str">
        <f>IF(ISBLANK('1.入力表'!D30)," ",'1.入力表'!S30)</f>
        <v xml:space="preserve"> </v>
      </c>
      <c r="E16" s="604" t="str">
        <f>IF(ISBLANK('1.入力表'!D30)," ",B16+C16)</f>
        <v xml:space="preserve"> </v>
      </c>
      <c r="F16" s="614" t="str">
        <f t="shared" si="0"/>
        <v xml:space="preserve"> </v>
      </c>
      <c r="G16" s="624"/>
      <c r="H16" s="624"/>
      <c r="I16" s="604" t="str">
        <f t="shared" si="1"/>
        <v xml:space="preserve"> </v>
      </c>
      <c r="J16" s="634" t="str">
        <f>IF(ISBLANK('1.入力表'!D30)," ",'1.入力表'!H30)</f>
        <v xml:space="preserve"> </v>
      </c>
      <c r="K16" s="614" t="str">
        <f>IF(ISBLANK('1.入力表'!D30)," ",I16+J16)</f>
        <v xml:space="preserve"> </v>
      </c>
      <c r="L16" s="604" t="str">
        <f>IF(ISBLANK('1.入力表'!D30)," ",'1.入力表'!R30)</f>
        <v xml:space="preserve"> </v>
      </c>
      <c r="M16" s="614" t="str">
        <f>IF(ISBLANK('1.入力表'!D30)," ",'1.入力表'!P30)</f>
        <v xml:space="preserve"> </v>
      </c>
      <c r="N16" s="645" t="str">
        <f>'6.償却資産明細書'!Q30</f>
        <v/>
      </c>
      <c r="O16" s="594" t="str">
        <f>IF(ISBLANK('1.入力表'!D30)," ",(IF(ISBLANK('6.償却資産明細書'!E30),K16-M16,K16-M16-N16)))</f>
        <v xml:space="preserve"> </v>
      </c>
      <c r="Q16" s="651"/>
    </row>
    <row r="17" spans="1:17" s="579" customFormat="1" ht="26.25" customHeight="1">
      <c r="A17" s="584" t="str">
        <f>IF(ISBLANK('1.入力表'!D31)," ",'1.入力表'!D31)</f>
        <v xml:space="preserve"> </v>
      </c>
      <c r="B17" s="594" t="str">
        <f>IF(ISBLANK('1.入力表'!G31)," ",'1.入力表'!G31)</f>
        <v xml:space="preserve"> </v>
      </c>
      <c r="C17" s="604" t="str">
        <f>IF(ISBLANK('1.入力表'!D31)," ",'1.入力表'!M31)</f>
        <v xml:space="preserve"> </v>
      </c>
      <c r="D17" s="614" t="str">
        <f>IF(ISBLANK('1.入力表'!D31)," ",'1.入力表'!S31)</f>
        <v xml:space="preserve"> </v>
      </c>
      <c r="E17" s="604" t="str">
        <f>IF(ISBLANK('1.入力表'!D31)," ",B17+C17)</f>
        <v xml:space="preserve"> </v>
      </c>
      <c r="F17" s="614" t="str">
        <f t="shared" si="0"/>
        <v xml:space="preserve"> </v>
      </c>
      <c r="G17" s="624"/>
      <c r="H17" s="624"/>
      <c r="I17" s="604" t="str">
        <f t="shared" si="1"/>
        <v xml:space="preserve"> </v>
      </c>
      <c r="J17" s="634" t="str">
        <f>IF(ISBLANK('1.入力表'!D31)," ",'1.入力表'!H31)</f>
        <v xml:space="preserve"> </v>
      </c>
      <c r="K17" s="614" t="str">
        <f>IF(ISBLANK('1.入力表'!D31)," ",I17+J17)</f>
        <v xml:space="preserve"> </v>
      </c>
      <c r="L17" s="604" t="str">
        <f>IF(ISBLANK('1.入力表'!D31)," ",'1.入力表'!R31)</f>
        <v xml:space="preserve"> </v>
      </c>
      <c r="M17" s="614" t="str">
        <f>IF(ISBLANK('1.入力表'!D31)," ",'1.入力表'!P31)</f>
        <v xml:space="preserve"> </v>
      </c>
      <c r="N17" s="645" t="str">
        <f>'6.償却資産明細書'!Q31</f>
        <v/>
      </c>
      <c r="O17" s="594" t="str">
        <f>IF(ISBLANK('1.入力表'!D31)," ",(IF(ISBLANK('6.償却資産明細書'!E31),K17-M17,K17-M17-N17)))</f>
        <v xml:space="preserve"> </v>
      </c>
      <c r="Q17" s="651"/>
    </row>
    <row r="18" spans="1:17" s="579" customFormat="1" ht="26.25" customHeight="1">
      <c r="A18" s="584" t="str">
        <f>IF(ISBLANK('1.入力表'!D32)," ",'1.入力表'!D32)</f>
        <v xml:space="preserve"> </v>
      </c>
      <c r="B18" s="594" t="str">
        <f>IF(ISBLANK('1.入力表'!G32)," ",'1.入力表'!G32)</f>
        <v xml:space="preserve"> </v>
      </c>
      <c r="C18" s="604" t="str">
        <f>IF(ISBLANK('1.入力表'!D32)," ",'1.入力表'!M32)</f>
        <v xml:space="preserve"> </v>
      </c>
      <c r="D18" s="614" t="str">
        <f>IF(ISBLANK('1.入力表'!D32)," ",'1.入力表'!S32)</f>
        <v xml:space="preserve"> </v>
      </c>
      <c r="E18" s="604" t="str">
        <f>IF(ISBLANK('1.入力表'!D32)," ",B18+C18)</f>
        <v xml:space="preserve"> </v>
      </c>
      <c r="F18" s="614" t="str">
        <f t="shared" si="0"/>
        <v xml:space="preserve"> </v>
      </c>
      <c r="G18" s="624"/>
      <c r="H18" s="624"/>
      <c r="I18" s="604" t="str">
        <f t="shared" si="1"/>
        <v xml:space="preserve"> </v>
      </c>
      <c r="J18" s="634" t="str">
        <f>IF(ISBLANK('1.入力表'!D32)," ",'1.入力表'!H32)</f>
        <v xml:space="preserve"> </v>
      </c>
      <c r="K18" s="614" t="str">
        <f>IF(ISBLANK('1.入力表'!D32)," ",I18+J18)</f>
        <v xml:space="preserve"> </v>
      </c>
      <c r="L18" s="604" t="str">
        <f>IF(ISBLANK('1.入力表'!D32)," ",'1.入力表'!R32)</f>
        <v xml:space="preserve"> </v>
      </c>
      <c r="M18" s="614" t="str">
        <f>IF(ISBLANK('1.入力表'!D32)," ",'1.入力表'!P32)</f>
        <v xml:space="preserve"> </v>
      </c>
      <c r="N18" s="645" t="str">
        <f>'6.償却資産明細書'!Q32</f>
        <v/>
      </c>
      <c r="O18" s="594" t="str">
        <f>IF(ISBLANK('1.入力表'!D32)," ",(IF(ISBLANK('6.償却資産明細書'!E32),K18-M18,K18-M18-N18)))</f>
        <v xml:space="preserve"> </v>
      </c>
      <c r="Q18" s="651"/>
    </row>
    <row r="19" spans="1:17" s="579" customFormat="1" ht="26.25" customHeight="1">
      <c r="A19" s="584" t="str">
        <f>IF(ISBLANK('1.入力表'!D33)," ",'1.入力表'!D33)</f>
        <v xml:space="preserve"> </v>
      </c>
      <c r="B19" s="594" t="str">
        <f>IF(ISBLANK('1.入力表'!G33)," ",'1.入力表'!G33)</f>
        <v xml:space="preserve"> </v>
      </c>
      <c r="C19" s="604" t="str">
        <f>IF(ISBLANK('1.入力表'!D33)," ",'1.入力表'!M33)</f>
        <v xml:space="preserve"> </v>
      </c>
      <c r="D19" s="614" t="str">
        <f>IF(ISBLANK('1.入力表'!D33)," ",'1.入力表'!S33)</f>
        <v xml:space="preserve"> </v>
      </c>
      <c r="E19" s="604" t="str">
        <f>IF(ISBLANK('1.入力表'!D33)," ",B19+C19)</f>
        <v xml:space="preserve"> </v>
      </c>
      <c r="F19" s="614" t="str">
        <f t="shared" si="0"/>
        <v xml:space="preserve"> </v>
      </c>
      <c r="G19" s="624"/>
      <c r="H19" s="624"/>
      <c r="I19" s="604" t="str">
        <f t="shared" si="1"/>
        <v xml:space="preserve"> </v>
      </c>
      <c r="J19" s="634" t="str">
        <f>IF(ISBLANK('1.入力表'!D33)," ",'1.入力表'!H33)</f>
        <v xml:space="preserve"> </v>
      </c>
      <c r="K19" s="614" t="str">
        <f>IF(ISBLANK('1.入力表'!D33)," ",I19+J19)</f>
        <v xml:space="preserve"> </v>
      </c>
      <c r="L19" s="604" t="str">
        <f>IF(ISBLANK('1.入力表'!D33)," ",'1.入力表'!R33)</f>
        <v xml:space="preserve"> </v>
      </c>
      <c r="M19" s="614" t="str">
        <f>IF(ISBLANK('1.入力表'!D33)," ",'1.入力表'!P33)</f>
        <v xml:space="preserve"> </v>
      </c>
      <c r="N19" s="645" t="str">
        <f>'6.償却資産明細書'!Q33</f>
        <v/>
      </c>
      <c r="O19" s="594" t="str">
        <f>IF(ISBLANK('1.入力表'!D33)," ",(IF(ISBLANK('6.償却資産明細書'!E33),K19-M19,K19-M19-N19)))</f>
        <v xml:space="preserve"> </v>
      </c>
      <c r="Q19" s="651"/>
    </row>
    <row r="20" spans="1:17" s="579" customFormat="1" ht="26.25" customHeight="1">
      <c r="A20" s="584" t="str">
        <f>IF(ISBLANK('1.入力表'!D34)," ",'1.入力表'!D34)</f>
        <v xml:space="preserve"> </v>
      </c>
      <c r="B20" s="594" t="str">
        <f>IF(ISBLANK('1.入力表'!G34)," ",'1.入力表'!G34)</f>
        <v xml:space="preserve"> </v>
      </c>
      <c r="C20" s="604" t="str">
        <f>IF(ISBLANK('1.入力表'!D34)," ",'1.入力表'!M34)</f>
        <v xml:space="preserve"> </v>
      </c>
      <c r="D20" s="614" t="str">
        <f>IF(ISBLANK('1.入力表'!D34)," ",'1.入力表'!S34)</f>
        <v xml:space="preserve"> </v>
      </c>
      <c r="E20" s="604" t="str">
        <f>IF(ISBLANK('1.入力表'!D34)," ",B20+C20)</f>
        <v xml:space="preserve"> </v>
      </c>
      <c r="F20" s="614" t="str">
        <f t="shared" si="0"/>
        <v xml:space="preserve"> </v>
      </c>
      <c r="G20" s="624"/>
      <c r="H20" s="624"/>
      <c r="I20" s="604" t="str">
        <f t="shared" si="1"/>
        <v xml:space="preserve"> </v>
      </c>
      <c r="J20" s="634" t="str">
        <f>IF(ISBLANK('1.入力表'!D34)," ",'1.入力表'!H34)</f>
        <v xml:space="preserve"> </v>
      </c>
      <c r="K20" s="614" t="str">
        <f>IF(ISBLANK('1.入力表'!D34)," ",I20+J20)</f>
        <v xml:space="preserve"> </v>
      </c>
      <c r="L20" s="604" t="str">
        <f>IF(ISBLANK('1.入力表'!D34)," ",'1.入力表'!R34)</f>
        <v xml:space="preserve"> </v>
      </c>
      <c r="M20" s="614" t="str">
        <f>IF(ISBLANK('1.入力表'!D34)," ",'1.入力表'!P34)</f>
        <v xml:space="preserve"> </v>
      </c>
      <c r="N20" s="645" t="str">
        <f>'6.償却資産明細書'!Q34</f>
        <v/>
      </c>
      <c r="O20" s="594" t="str">
        <f>IF(ISBLANK('1.入力表'!D34)," ",(IF(ISBLANK('6.償却資産明細書'!E34),K20-M20,K20-M20-N20)))</f>
        <v xml:space="preserve"> </v>
      </c>
      <c r="Q20" s="651"/>
    </row>
    <row r="21" spans="1:17" s="579" customFormat="1" ht="26.25" customHeight="1">
      <c r="A21" s="584" t="str">
        <f>IF(ISBLANK('1.入力表'!D35)," ",'1.入力表'!D35)</f>
        <v xml:space="preserve"> </v>
      </c>
      <c r="B21" s="594" t="str">
        <f>IF(ISBLANK('1.入力表'!G35)," ",'1.入力表'!G35)</f>
        <v xml:space="preserve"> </v>
      </c>
      <c r="C21" s="604" t="str">
        <f>IF(ISBLANK('1.入力表'!D35)," ",'1.入力表'!M35)</f>
        <v xml:space="preserve"> </v>
      </c>
      <c r="D21" s="614" t="str">
        <f>IF(ISBLANK('1.入力表'!D35)," ",'1.入力表'!S35)</f>
        <v xml:space="preserve"> </v>
      </c>
      <c r="E21" s="604" t="str">
        <f>IF(ISBLANK('1.入力表'!D35)," ",B21+C21)</f>
        <v xml:space="preserve"> </v>
      </c>
      <c r="F21" s="614" t="str">
        <f t="shared" si="0"/>
        <v xml:space="preserve"> </v>
      </c>
      <c r="G21" s="624"/>
      <c r="H21" s="624"/>
      <c r="I21" s="604" t="str">
        <f t="shared" si="1"/>
        <v xml:space="preserve"> </v>
      </c>
      <c r="J21" s="634" t="str">
        <f>IF(ISBLANK('1.入力表'!D35)," ",'1.入力表'!H35)</f>
        <v xml:space="preserve"> </v>
      </c>
      <c r="K21" s="614" t="str">
        <f>IF(ISBLANK('1.入力表'!D35)," ",I21+J21)</f>
        <v xml:space="preserve"> </v>
      </c>
      <c r="L21" s="604" t="str">
        <f>IF(ISBLANK('1.入力表'!D35)," ",'1.入力表'!R35)</f>
        <v xml:space="preserve"> </v>
      </c>
      <c r="M21" s="614" t="str">
        <f>IF(ISBLANK('1.入力表'!D35)," ",'1.入力表'!P35)</f>
        <v xml:space="preserve"> </v>
      </c>
      <c r="N21" s="645" t="str">
        <f>'6.償却資産明細書'!Q35</f>
        <v/>
      </c>
      <c r="O21" s="594" t="str">
        <f>IF(ISBLANK('1.入力表'!D35)," ",(IF(ISBLANK('6.償却資産明細書'!E35),K21-M21,K21-M21-N21)))</f>
        <v xml:space="preserve"> </v>
      </c>
      <c r="Q21" s="651"/>
    </row>
    <row r="22" spans="1:17" s="579" customFormat="1" ht="26.25" customHeight="1">
      <c r="A22" s="584" t="str">
        <f>IF(ISBLANK('1.入力表'!D36)," ",'1.入力表'!D36)</f>
        <v xml:space="preserve"> </v>
      </c>
      <c r="B22" s="594" t="str">
        <f>IF(ISBLANK('1.入力表'!G36)," ",'1.入力表'!G36)</f>
        <v xml:space="preserve"> </v>
      </c>
      <c r="C22" s="604" t="str">
        <f>IF(ISBLANK('1.入力表'!D36)," ",'1.入力表'!M36)</f>
        <v xml:space="preserve"> </v>
      </c>
      <c r="D22" s="614" t="str">
        <f>IF(ISBLANK('1.入力表'!D36)," ",'1.入力表'!S36)</f>
        <v xml:space="preserve"> </v>
      </c>
      <c r="E22" s="604" t="str">
        <f>IF(ISBLANK('1.入力表'!D36)," ",B22+C22)</f>
        <v xml:space="preserve"> </v>
      </c>
      <c r="F22" s="614" t="str">
        <f t="shared" si="0"/>
        <v xml:space="preserve"> </v>
      </c>
      <c r="G22" s="624"/>
      <c r="H22" s="624"/>
      <c r="I22" s="604" t="str">
        <f t="shared" si="1"/>
        <v xml:space="preserve"> </v>
      </c>
      <c r="J22" s="634" t="str">
        <f>IF(ISBLANK('1.入力表'!D36)," ",'1.入力表'!H36)</f>
        <v xml:space="preserve"> </v>
      </c>
      <c r="K22" s="614" t="str">
        <f>IF(ISBLANK('1.入力表'!D36)," ",I22+J22)</f>
        <v xml:space="preserve"> </v>
      </c>
      <c r="L22" s="604" t="str">
        <f>IF(ISBLANK('1.入力表'!D36)," ",'1.入力表'!R36)</f>
        <v xml:space="preserve"> </v>
      </c>
      <c r="M22" s="614" t="str">
        <f>IF(ISBLANK('1.入力表'!D36)," ",'1.入力表'!P36)</f>
        <v xml:space="preserve"> </v>
      </c>
      <c r="N22" s="645" t="str">
        <f>'6.償却資産明細書'!Q36</f>
        <v/>
      </c>
      <c r="O22" s="594" t="str">
        <f>IF(ISBLANK('1.入力表'!D36)," ",(IF(ISBLANK('6.償却資産明細書'!E36),K22-M22,K22-M22-N22)))</f>
        <v xml:space="preserve"> </v>
      </c>
      <c r="Q22" s="651"/>
    </row>
    <row r="23" spans="1:17" s="579" customFormat="1" ht="26.25" customHeight="1">
      <c r="A23" s="584" t="str">
        <f>IF(ISBLANK('1.入力表'!D37)," ",'1.入力表'!D37)</f>
        <v xml:space="preserve"> </v>
      </c>
      <c r="B23" s="594" t="str">
        <f>IF(ISBLANK('1.入力表'!G37)," ",'1.入力表'!G37)</f>
        <v xml:space="preserve"> </v>
      </c>
      <c r="C23" s="604" t="str">
        <f>IF(ISBLANK('1.入力表'!D37)," ",'1.入力表'!M37)</f>
        <v xml:space="preserve"> </v>
      </c>
      <c r="D23" s="614" t="str">
        <f>IF(ISBLANK('1.入力表'!D37)," ",'1.入力表'!S37)</f>
        <v xml:space="preserve"> </v>
      </c>
      <c r="E23" s="604" t="str">
        <f>IF(ISBLANK('1.入力表'!D37)," ",B23+C23)</f>
        <v xml:space="preserve"> </v>
      </c>
      <c r="F23" s="614" t="str">
        <f t="shared" si="0"/>
        <v xml:space="preserve"> </v>
      </c>
      <c r="G23" s="624"/>
      <c r="H23" s="624"/>
      <c r="I23" s="604" t="str">
        <f t="shared" si="1"/>
        <v xml:space="preserve"> </v>
      </c>
      <c r="J23" s="634" t="str">
        <f>IF(ISBLANK('1.入力表'!D37)," ",'1.入力表'!H37)</f>
        <v xml:space="preserve"> </v>
      </c>
      <c r="K23" s="614" t="str">
        <f>IF(ISBLANK('1.入力表'!D37)," ",I23+J23)</f>
        <v xml:space="preserve"> </v>
      </c>
      <c r="L23" s="604" t="str">
        <f>IF(ISBLANK('1.入力表'!D37)," ",'1.入力表'!R37)</f>
        <v xml:space="preserve"> </v>
      </c>
      <c r="M23" s="614" t="str">
        <f>IF(ISBLANK('1.入力表'!D37)," ",'1.入力表'!P37)</f>
        <v xml:space="preserve"> </v>
      </c>
      <c r="N23" s="645" t="str">
        <f>'6.償却資産明細書'!Q37</f>
        <v/>
      </c>
      <c r="O23" s="594" t="str">
        <f>IF(ISBLANK('1.入力表'!D37)," ",(IF(ISBLANK('6.償却資産明細書'!E37),K23-M23,K23-M23-N23)))</f>
        <v xml:space="preserve"> </v>
      </c>
      <c r="Q23" s="651"/>
    </row>
    <row r="24" spans="1:17" s="579" customFormat="1" ht="26.25" customHeight="1">
      <c r="A24" s="584" t="str">
        <f>IF(ISBLANK('1.入力表'!D38)," ",'1.入力表'!D38)</f>
        <v xml:space="preserve"> </v>
      </c>
      <c r="B24" s="594" t="str">
        <f>IF(ISBLANK('1.入力表'!G38)," ",'1.入力表'!G38)</f>
        <v xml:space="preserve"> </v>
      </c>
      <c r="C24" s="604" t="str">
        <f>IF(ISBLANK('1.入力表'!D38)," ",'1.入力表'!M38)</f>
        <v xml:space="preserve"> </v>
      </c>
      <c r="D24" s="614" t="str">
        <f>IF(ISBLANK('1.入力表'!D38)," ",'1.入力表'!S38)</f>
        <v xml:space="preserve"> </v>
      </c>
      <c r="E24" s="604" t="str">
        <f>IF(ISBLANK('1.入力表'!D38)," ",B24+C24)</f>
        <v xml:space="preserve"> </v>
      </c>
      <c r="F24" s="614" t="str">
        <f t="shared" si="0"/>
        <v xml:space="preserve"> </v>
      </c>
      <c r="G24" s="624"/>
      <c r="H24" s="624"/>
      <c r="I24" s="604" t="str">
        <f t="shared" si="1"/>
        <v xml:space="preserve"> </v>
      </c>
      <c r="J24" s="634" t="str">
        <f>IF(ISBLANK('1.入力表'!D38)," ",'1.入力表'!H38)</f>
        <v xml:space="preserve"> </v>
      </c>
      <c r="K24" s="614" t="str">
        <f>IF(ISBLANK('1.入力表'!D38)," ",I24+J24)</f>
        <v xml:space="preserve"> </v>
      </c>
      <c r="L24" s="604" t="str">
        <f>IF(ISBLANK('1.入力表'!D38)," ",'1.入力表'!R38)</f>
        <v xml:space="preserve"> </v>
      </c>
      <c r="M24" s="614" t="str">
        <f>IF(ISBLANK('1.入力表'!D38)," ",'1.入力表'!P38)</f>
        <v xml:space="preserve"> </v>
      </c>
      <c r="N24" s="645" t="str">
        <f>'6.償却資産明細書'!Q38</f>
        <v/>
      </c>
      <c r="O24" s="594" t="str">
        <f>IF(ISBLANK('1.入力表'!D38)," ",(IF(ISBLANK('6.償却資産明細書'!E38),K24-M24,K24-M24-N24)))</f>
        <v xml:space="preserve"> </v>
      </c>
      <c r="Q24" s="651"/>
    </row>
    <row r="25" spans="1:17" s="579" customFormat="1" ht="26.25" customHeight="1">
      <c r="A25" s="584" t="str">
        <f>IF(ISBLANK('1.入力表'!D39)," ",'1.入力表'!D39)</f>
        <v xml:space="preserve"> </v>
      </c>
      <c r="B25" s="594" t="str">
        <f>IF(ISBLANK('1.入力表'!G39)," ",'1.入力表'!G39)</f>
        <v xml:space="preserve"> </v>
      </c>
      <c r="C25" s="604" t="str">
        <f>IF(ISBLANK('1.入力表'!D39)," ",'1.入力表'!M39)</f>
        <v xml:space="preserve"> </v>
      </c>
      <c r="D25" s="614" t="str">
        <f>IF(ISBLANK('1.入力表'!D39)," ",'1.入力表'!S39)</f>
        <v xml:space="preserve"> </v>
      </c>
      <c r="E25" s="604" t="str">
        <f>IF(ISBLANK('1.入力表'!D39)," ",B25+C25)</f>
        <v xml:space="preserve"> </v>
      </c>
      <c r="F25" s="614" t="str">
        <f t="shared" si="0"/>
        <v xml:space="preserve"> </v>
      </c>
      <c r="G25" s="624"/>
      <c r="H25" s="624"/>
      <c r="I25" s="604" t="str">
        <f t="shared" si="1"/>
        <v xml:space="preserve"> </v>
      </c>
      <c r="J25" s="634" t="str">
        <f>IF(ISBLANK('1.入力表'!D39)," ",'1.入力表'!H39)</f>
        <v xml:space="preserve"> </v>
      </c>
      <c r="K25" s="614" t="str">
        <f>IF(ISBLANK('1.入力表'!D39)," ",I25+J25)</f>
        <v xml:space="preserve"> </v>
      </c>
      <c r="L25" s="604" t="str">
        <f>IF(ISBLANK('1.入力表'!D39)," ",'1.入力表'!R39)</f>
        <v xml:space="preserve"> </v>
      </c>
      <c r="M25" s="614" t="str">
        <f>IF(ISBLANK('1.入力表'!D39)," ",'1.入力表'!P39)</f>
        <v xml:space="preserve"> </v>
      </c>
      <c r="N25" s="645" t="str">
        <f>'6.償却資産明細書'!Q39</f>
        <v/>
      </c>
      <c r="O25" s="594" t="str">
        <f>IF(ISBLANK('1.入力表'!D39)," ",(IF(ISBLANK('6.償却資産明細書'!E39),K25-M25,K25-M25-N25)))</f>
        <v xml:space="preserve"> </v>
      </c>
      <c r="Q25" s="651"/>
    </row>
    <row r="26" spans="1:17" s="579" customFormat="1" ht="26.25" customHeight="1">
      <c r="A26" s="584" t="str">
        <f>IF(ISBLANK('1.入力表'!D40)," ",'1.入力表'!D40)</f>
        <v xml:space="preserve"> </v>
      </c>
      <c r="B26" s="594" t="str">
        <f>IF(ISBLANK('1.入力表'!G40)," ",'1.入力表'!G40)</f>
        <v xml:space="preserve"> </v>
      </c>
      <c r="C26" s="604" t="str">
        <f>IF(ISBLANK('1.入力表'!D40)," ",'1.入力表'!M40)</f>
        <v xml:space="preserve"> </v>
      </c>
      <c r="D26" s="614" t="str">
        <f>IF(ISBLANK('1.入力表'!D40)," ",'1.入力表'!S40)</f>
        <v xml:space="preserve"> </v>
      </c>
      <c r="E26" s="604" t="str">
        <f>IF(ISBLANK('1.入力表'!D40)," ",B26+C26)</f>
        <v xml:space="preserve"> </v>
      </c>
      <c r="F26" s="614" t="str">
        <f t="shared" si="0"/>
        <v xml:space="preserve"> </v>
      </c>
      <c r="G26" s="624"/>
      <c r="H26" s="624"/>
      <c r="I26" s="604" t="str">
        <f t="shared" si="1"/>
        <v xml:space="preserve"> </v>
      </c>
      <c r="J26" s="634" t="str">
        <f>IF(ISBLANK('1.入力表'!D40)," ",'1.入力表'!H40)</f>
        <v xml:space="preserve"> </v>
      </c>
      <c r="K26" s="614" t="str">
        <f>IF(ISBLANK('1.入力表'!D40)," ",I26+J26)</f>
        <v xml:space="preserve"> </v>
      </c>
      <c r="L26" s="604" t="str">
        <f>IF(ISBLANK('1.入力表'!D40)," ",'1.入力表'!R40)</f>
        <v xml:space="preserve"> </v>
      </c>
      <c r="M26" s="614" t="str">
        <f>IF(ISBLANK('1.入力表'!D40)," ",'1.入力表'!P40)</f>
        <v xml:space="preserve"> </v>
      </c>
      <c r="N26" s="645" t="str">
        <f>'6.償却資産明細書'!Q40</f>
        <v/>
      </c>
      <c r="O26" s="594" t="str">
        <f>IF(ISBLANK('1.入力表'!D40)," ",(IF(ISBLANK('6.償却資産明細書'!E40),K26-M26,K26-M26-N26)))</f>
        <v xml:space="preserve"> </v>
      </c>
      <c r="Q26" s="651"/>
    </row>
    <row r="27" spans="1:17" s="579" customFormat="1" ht="26.25" customHeight="1">
      <c r="A27" s="584" t="str">
        <f>IF(ISBLANK('1.入力表'!D41)," ",'1.入力表'!D41)</f>
        <v xml:space="preserve"> </v>
      </c>
      <c r="B27" s="594" t="str">
        <f>IF(ISBLANK('1.入力表'!G41)," ",'1.入力表'!G41)</f>
        <v xml:space="preserve"> </v>
      </c>
      <c r="C27" s="604" t="str">
        <f>IF(ISBLANK('1.入力表'!D41)," ",'1.入力表'!M41)</f>
        <v xml:space="preserve"> </v>
      </c>
      <c r="D27" s="614" t="str">
        <f>IF(ISBLANK('1.入力表'!D41)," ",'1.入力表'!S41)</f>
        <v xml:space="preserve"> </v>
      </c>
      <c r="E27" s="604" t="str">
        <f>IF(ISBLANK('1.入力表'!D41)," ",B27+C27)</f>
        <v xml:space="preserve"> </v>
      </c>
      <c r="F27" s="614" t="str">
        <f t="shared" si="0"/>
        <v xml:space="preserve"> </v>
      </c>
      <c r="G27" s="624"/>
      <c r="H27" s="624"/>
      <c r="I27" s="604" t="str">
        <f t="shared" si="1"/>
        <v xml:space="preserve"> </v>
      </c>
      <c r="J27" s="634" t="str">
        <f>IF(ISBLANK('1.入力表'!D41)," ",'1.入力表'!H41)</f>
        <v xml:space="preserve"> </v>
      </c>
      <c r="K27" s="614" t="str">
        <f>IF(ISBLANK('1.入力表'!D41)," ",I27+J27)</f>
        <v xml:space="preserve"> </v>
      </c>
      <c r="L27" s="604" t="str">
        <f>IF(ISBLANK('1.入力表'!D41)," ",'1.入力表'!R41)</f>
        <v xml:space="preserve"> </v>
      </c>
      <c r="M27" s="614" t="str">
        <f>IF(ISBLANK('1.入力表'!D41)," ",'1.入力表'!P41)</f>
        <v xml:space="preserve"> </v>
      </c>
      <c r="N27" s="645" t="str">
        <f>'6.償却資産明細書'!Q41</f>
        <v/>
      </c>
      <c r="O27" s="594" t="str">
        <f>IF(ISBLANK('1.入力表'!D41)," ",(IF(ISBLANK('6.償却資産明細書'!E41),K27-M27,K27-M27-N27)))</f>
        <v xml:space="preserve"> </v>
      </c>
      <c r="Q27" s="651"/>
    </row>
    <row r="28" spans="1:17" s="579" customFormat="1" ht="26.25" customHeight="1">
      <c r="A28" s="584" t="str">
        <f>IF(ISBLANK('1.入力表'!D42)," ",'1.入力表'!D42)</f>
        <v xml:space="preserve"> </v>
      </c>
      <c r="B28" s="594" t="str">
        <f>IF(ISBLANK('1.入力表'!G42)," ",'1.入力表'!G42)</f>
        <v xml:space="preserve"> </v>
      </c>
      <c r="C28" s="604" t="str">
        <f>IF(ISBLANK('1.入力表'!D42)," ",'1.入力表'!M42)</f>
        <v xml:space="preserve"> </v>
      </c>
      <c r="D28" s="614" t="str">
        <f>IF(ISBLANK('1.入力表'!D42)," ",'1.入力表'!S42)</f>
        <v xml:space="preserve"> </v>
      </c>
      <c r="E28" s="604" t="str">
        <f>IF(ISBLANK('1.入力表'!D42)," ",B28+C28)</f>
        <v xml:space="preserve"> </v>
      </c>
      <c r="F28" s="614" t="str">
        <f t="shared" si="0"/>
        <v xml:space="preserve"> </v>
      </c>
      <c r="G28" s="624"/>
      <c r="H28" s="624"/>
      <c r="I28" s="604" t="str">
        <f t="shared" si="1"/>
        <v xml:space="preserve"> </v>
      </c>
      <c r="J28" s="634" t="str">
        <f>IF(ISBLANK('1.入力表'!D42)," ",'1.入力表'!H42)</f>
        <v xml:space="preserve"> </v>
      </c>
      <c r="K28" s="614" t="str">
        <f>IF(ISBLANK('1.入力表'!D42)," ",I28+J28)</f>
        <v xml:space="preserve"> </v>
      </c>
      <c r="L28" s="604" t="str">
        <f>IF(ISBLANK('1.入力表'!D42)," ",'1.入力表'!R42)</f>
        <v xml:space="preserve"> </v>
      </c>
      <c r="M28" s="614" t="str">
        <f>IF(ISBLANK('1.入力表'!D42)," ",'1.入力表'!P42)</f>
        <v xml:space="preserve"> </v>
      </c>
      <c r="N28" s="645" t="str">
        <f>'6.償却資産明細書'!Q42</f>
        <v/>
      </c>
      <c r="O28" s="594" t="str">
        <f>IF(ISBLANK('1.入力表'!D42)," ",(IF(ISBLANK('6.償却資産明細書'!E42),K28-M28,K28-M28-N28)))</f>
        <v xml:space="preserve"> </v>
      </c>
      <c r="Q28" s="651"/>
    </row>
    <row r="29" spans="1:17" s="579" customFormat="1" ht="26.25" customHeight="1">
      <c r="A29" s="584" t="str">
        <f>IF(ISBLANK('1.入力表'!D43)," ",'1.入力表'!D43)</f>
        <v xml:space="preserve"> </v>
      </c>
      <c r="B29" s="594" t="str">
        <f>IF(ISBLANK('1.入力表'!G43)," ",'1.入力表'!G43)</f>
        <v xml:space="preserve"> </v>
      </c>
      <c r="C29" s="604" t="str">
        <f>IF(ISBLANK('1.入力表'!D43)," ",'1.入力表'!M43)</f>
        <v xml:space="preserve"> </v>
      </c>
      <c r="D29" s="614" t="str">
        <f>IF(ISBLANK('1.入力表'!D43)," ",'1.入力表'!S43)</f>
        <v xml:space="preserve"> </v>
      </c>
      <c r="E29" s="604" t="str">
        <f>IF(ISBLANK('1.入力表'!D43)," ",B29+C29)</f>
        <v xml:space="preserve"> </v>
      </c>
      <c r="F29" s="614" t="str">
        <f t="shared" si="0"/>
        <v xml:space="preserve"> </v>
      </c>
      <c r="G29" s="624"/>
      <c r="H29" s="624"/>
      <c r="I29" s="604" t="str">
        <f t="shared" si="1"/>
        <v xml:space="preserve"> </v>
      </c>
      <c r="J29" s="634" t="str">
        <f>IF(ISBLANK('1.入力表'!D43)," ",'1.入力表'!H43)</f>
        <v xml:space="preserve"> </v>
      </c>
      <c r="K29" s="614" t="str">
        <f>IF(ISBLANK('1.入力表'!D43)," ",I29+J29)</f>
        <v xml:space="preserve"> </v>
      </c>
      <c r="L29" s="604" t="str">
        <f>IF(ISBLANK('1.入力表'!D43)," ",'1.入力表'!R43)</f>
        <v xml:space="preserve"> </v>
      </c>
      <c r="M29" s="614" t="str">
        <f>IF(ISBLANK('1.入力表'!D43)," ",'1.入力表'!P43)</f>
        <v xml:space="preserve"> </v>
      </c>
      <c r="N29" s="645" t="str">
        <f>'6.償却資産明細書'!Q43</f>
        <v/>
      </c>
      <c r="O29" s="594" t="str">
        <f>IF(ISBLANK('1.入力表'!D43)," ",(IF(ISBLANK('6.償却資産明細書'!E43),K29-M29,K29-M29-N29)))</f>
        <v xml:space="preserve"> </v>
      </c>
      <c r="Q29" s="651"/>
    </row>
    <row r="30" spans="1:17" s="579" customFormat="1" ht="26.25" customHeight="1">
      <c r="A30" s="584" t="str">
        <f>IF(ISBLANK('1.入力表'!D44)," ",'1.入力表'!D44)</f>
        <v xml:space="preserve"> </v>
      </c>
      <c r="B30" s="594" t="str">
        <f>IF(ISBLANK('1.入力表'!G44)," ",'1.入力表'!G44)</f>
        <v xml:space="preserve"> </v>
      </c>
      <c r="C30" s="604" t="str">
        <f>IF(ISBLANK('1.入力表'!D44)," ",'1.入力表'!M44)</f>
        <v xml:space="preserve"> </v>
      </c>
      <c r="D30" s="614" t="str">
        <f>IF(ISBLANK('1.入力表'!D44)," ",'1.入力表'!S44)</f>
        <v xml:space="preserve"> </v>
      </c>
      <c r="E30" s="604" t="str">
        <f>IF(ISBLANK('1.入力表'!D44)," ",B30+C30)</f>
        <v xml:space="preserve"> </v>
      </c>
      <c r="F30" s="614" t="str">
        <f t="shared" si="0"/>
        <v xml:space="preserve"> </v>
      </c>
      <c r="G30" s="624"/>
      <c r="H30" s="624"/>
      <c r="I30" s="604" t="str">
        <f t="shared" si="1"/>
        <v xml:space="preserve"> </v>
      </c>
      <c r="J30" s="634" t="str">
        <f>IF(ISBLANK('1.入力表'!D44)," ",'1.入力表'!H44)</f>
        <v xml:space="preserve"> </v>
      </c>
      <c r="K30" s="614" t="str">
        <f>IF(ISBLANK('1.入力表'!D44)," ",I30+J30)</f>
        <v xml:space="preserve"> </v>
      </c>
      <c r="L30" s="604" t="str">
        <f>IF(ISBLANK('1.入力表'!D44)," ",'1.入力表'!R44)</f>
        <v xml:space="preserve"> </v>
      </c>
      <c r="M30" s="614" t="str">
        <f>IF(ISBLANK('1.入力表'!D44)," ",'1.入力表'!P44)</f>
        <v xml:space="preserve"> </v>
      </c>
      <c r="N30" s="645" t="str">
        <f>'6.償却資産明細書'!Q44</f>
        <v/>
      </c>
      <c r="O30" s="594" t="str">
        <f>IF(ISBLANK('1.入力表'!D44)," ",(IF(ISBLANK('6.償却資産明細書'!E44),K30-M30,K30-M30-N30)))</f>
        <v xml:space="preserve"> </v>
      </c>
      <c r="Q30" s="651"/>
    </row>
    <row r="31" spans="1:17" s="579" customFormat="1" ht="26.25" customHeight="1">
      <c r="A31" s="584" t="str">
        <f>IF(ISBLANK('1.入力表'!D45)," ",'1.入力表'!D45)</f>
        <v xml:space="preserve"> </v>
      </c>
      <c r="B31" s="594" t="str">
        <f>IF(ISBLANK('1.入力表'!G45)," ",'1.入力表'!G45)</f>
        <v xml:space="preserve"> </v>
      </c>
      <c r="C31" s="604" t="str">
        <f>IF(ISBLANK('1.入力表'!D45)," ",'1.入力表'!M45)</f>
        <v xml:space="preserve"> </v>
      </c>
      <c r="D31" s="614" t="str">
        <f>IF(ISBLANK('1.入力表'!D45)," ",'1.入力表'!S45)</f>
        <v xml:space="preserve"> </v>
      </c>
      <c r="E31" s="604" t="str">
        <f>IF(ISBLANK('1.入力表'!D45)," ",B31+C31)</f>
        <v xml:space="preserve"> </v>
      </c>
      <c r="F31" s="614" t="str">
        <f t="shared" si="0"/>
        <v xml:space="preserve"> </v>
      </c>
      <c r="G31" s="624"/>
      <c r="H31" s="624"/>
      <c r="I31" s="604" t="str">
        <f t="shared" si="1"/>
        <v xml:space="preserve"> </v>
      </c>
      <c r="J31" s="634" t="str">
        <f>IF(ISBLANK('1.入力表'!D45)," ",'1.入力表'!H45)</f>
        <v xml:space="preserve"> </v>
      </c>
      <c r="K31" s="614" t="str">
        <f>IF(ISBLANK('1.入力表'!D45)," ",I31+J31)</f>
        <v xml:space="preserve"> </v>
      </c>
      <c r="L31" s="604" t="str">
        <f>IF(ISBLANK('1.入力表'!D45)," ",'1.入力表'!R45)</f>
        <v xml:space="preserve"> </v>
      </c>
      <c r="M31" s="614" t="str">
        <f>IF(ISBLANK('1.入力表'!D45)," ",'1.入力表'!P45)</f>
        <v xml:space="preserve"> </v>
      </c>
      <c r="N31" s="645" t="str">
        <f>'6.償却資産明細書'!Q45</f>
        <v/>
      </c>
      <c r="O31" s="594" t="str">
        <f>IF(ISBLANK('1.入力表'!D45)," ",(IF(ISBLANK('6.償却資産明細書'!E45),K31-M31,K31-M31-N31)))</f>
        <v xml:space="preserve"> </v>
      </c>
      <c r="Q31" s="651"/>
    </row>
    <row r="32" spans="1:17" s="579" customFormat="1" ht="26.25" customHeight="1">
      <c r="A32" s="585" t="str">
        <f>IF(ISBLANK('1.入力表'!D46)," ",'1.入力表'!D46)</f>
        <v xml:space="preserve"> </v>
      </c>
      <c r="B32" s="595" t="str">
        <f>IF(ISBLANK('1.入力表'!G46)," ",'1.入力表'!G46)</f>
        <v xml:space="preserve"> </v>
      </c>
      <c r="C32" s="605" t="str">
        <f>IF(ISBLANK('1.入力表'!D46)," ",'1.入力表'!M46)</f>
        <v xml:space="preserve"> </v>
      </c>
      <c r="D32" s="615" t="str">
        <f>IF(ISBLANK('1.入力表'!D46)," ",'1.入力表'!S46)</f>
        <v xml:space="preserve"> </v>
      </c>
      <c r="E32" s="605" t="str">
        <f>IF(ISBLANK('1.入力表'!D46)," ",B32+C32)</f>
        <v xml:space="preserve"> </v>
      </c>
      <c r="F32" s="615" t="str">
        <f t="shared" si="0"/>
        <v xml:space="preserve"> </v>
      </c>
      <c r="G32" s="624"/>
      <c r="H32" s="624"/>
      <c r="I32" s="605" t="str">
        <f t="shared" si="1"/>
        <v xml:space="preserve"> </v>
      </c>
      <c r="J32" s="635" t="str">
        <f>IF(ISBLANK('1.入力表'!D46)," ",'1.入力表'!H46)</f>
        <v xml:space="preserve"> </v>
      </c>
      <c r="K32" s="615" t="str">
        <f>IF(ISBLANK('1.入力表'!D46)," ",I32+J32)</f>
        <v xml:space="preserve"> </v>
      </c>
      <c r="L32" s="605" t="str">
        <f>IF(ISBLANK('1.入力表'!D46)," ",'1.入力表'!R46)</f>
        <v xml:space="preserve"> </v>
      </c>
      <c r="M32" s="615" t="str">
        <f>IF(ISBLANK('1.入力表'!D46)," ",'1.入力表'!P46)</f>
        <v xml:space="preserve"> </v>
      </c>
      <c r="N32" s="595" t="str">
        <f>'6.償却資産明細書'!Q46</f>
        <v/>
      </c>
      <c r="O32" s="595" t="str">
        <f>IF(ISBLANK('1.入力表'!D46)," ",(IF(ISBLANK('6.償却資産明細書'!E46),K32-M32,K32-M32-N32)))</f>
        <v xml:space="preserve"> </v>
      </c>
      <c r="Q32" s="651"/>
    </row>
    <row r="33" spans="1:17" s="579" customFormat="1" ht="26.25" customHeight="1">
      <c r="A33" s="586" t="s">
        <v>158</v>
      </c>
      <c r="B33" s="596">
        <f>IF(ISBLANK('1.入力表'!$D$19),"　",IF('1.入力表'!$D$47=0,SUM(B5:B32),"２枚目"))</f>
        <v>2000000</v>
      </c>
      <c r="C33" s="606">
        <f>IF(ISBLANK('1.入力表'!$D$19),"　",IF('1.入力表'!$D$47=0,SUM(C5:C32),"２枚目"))</f>
        <v>5000000</v>
      </c>
      <c r="D33" s="616">
        <f>IF(ISBLANK('1.入力表'!$D$19),"　",IF('1.入力表'!$D$47=0,SUM(D5:D32),"２枚目"))</f>
        <v>4128436</v>
      </c>
      <c r="E33" s="619">
        <f>IF(ISBLANK('1.入力表'!$D$19),"　",IF('1.入力表'!$D$47=0,SUM(E5:E32),"２枚目"))</f>
        <v>7000000</v>
      </c>
      <c r="F33" s="622">
        <f t="shared" si="0"/>
        <v>4128436</v>
      </c>
      <c r="G33" s="624"/>
      <c r="H33" s="624"/>
      <c r="I33" s="619">
        <f>IF(ISBLANK('1.入力表'!$D$19),"　",IF('1.入力表'!$D$47=0,SUM(I5:I32),"２枚目"))</f>
        <v>7000000</v>
      </c>
      <c r="J33" s="636">
        <f>IF(ISBLANK('1.入力表'!$D$19),"　",IF('1.入力表'!$D$47=0,SUM(J5:J32),"２枚目"))</f>
        <v>280000</v>
      </c>
      <c r="K33" s="622">
        <f>IF(ISBLANK('1.入力表'!$D$19),"　",IF('1.入力表'!$D$47=0,SUM(K5:K32),"２枚目"))</f>
        <v>7280000</v>
      </c>
      <c r="L33" s="619">
        <f>IF(ISBLANK('1.入力表'!$D$19),"　",IF('1.入力表'!$D$47=0,SUM(L5:L32),"２枚目"))</f>
        <v>3259350</v>
      </c>
      <c r="M33" s="622">
        <f>IF(ISBLANK('1.入力表'!$D$19),"　",IF('1.入力表'!$D$47=0,SUM(M5:M32),"２枚目"))</f>
        <v>869086</v>
      </c>
      <c r="N33" s="622">
        <f>IF(ISBLANK('1.入力表'!$D$19),"　",IF('1.入力表'!$D$47=0,SUM(N5:N32),"２枚目"))</f>
        <v>210435</v>
      </c>
      <c r="O33" s="596">
        <f>IF(ISBLANK('1.入力表'!$D$19),"　",IF('1.入力表'!$D$47=0,SUM(O5:O32),"２枚目"))</f>
        <v>6200479</v>
      </c>
      <c r="Q33" s="652"/>
    </row>
    <row r="34" spans="1:17" s="579" customFormat="1" ht="26.25" customHeight="1">
      <c r="A34" s="587" t="str">
        <f>IF(ISBLANK('1.入力表'!D47)," ",'1.入力表'!D47)</f>
        <v xml:space="preserve"> </v>
      </c>
      <c r="B34" s="597" t="str">
        <f>IF(ISBLANK('1.入力表'!G47)," ",'1.入力表'!G47)</f>
        <v xml:space="preserve"> </v>
      </c>
      <c r="C34" s="607" t="str">
        <f>IF(ISBLANK('1.入力表'!D47)," ",'1.入力表'!M47)</f>
        <v xml:space="preserve"> </v>
      </c>
      <c r="D34" s="617" t="str">
        <f>IF(ISBLANK('1.入力表'!D47)," ",'1.入力表'!S47)</f>
        <v xml:space="preserve"> </v>
      </c>
      <c r="E34" s="620" t="str">
        <f>IF(ISBLANK('1.入力表'!D47)," ",B34+C34)</f>
        <v xml:space="preserve"> </v>
      </c>
      <c r="F34" s="617" t="str">
        <f t="shared" si="0"/>
        <v xml:space="preserve"> </v>
      </c>
      <c r="G34" s="624"/>
      <c r="H34" s="624"/>
      <c r="I34" s="618" t="str">
        <f t="shared" ref="I34:I50" si="2">E34</f>
        <v xml:space="preserve"> </v>
      </c>
      <c r="J34" s="633" t="str">
        <f>IF(ISBLANK('1.入力表'!D47)," ",'1.入力表'!H47)</f>
        <v xml:space="preserve"> </v>
      </c>
      <c r="K34" s="621" t="str">
        <f>IF(ISBLANK('1.入力表'!D47)," ",I34+J34)</f>
        <v xml:space="preserve"> </v>
      </c>
      <c r="L34" s="618" t="str">
        <f>IF(ISBLANK('1.入力表'!D47)," ",'1.入力表'!R47)</f>
        <v xml:space="preserve"> </v>
      </c>
      <c r="M34" s="621" t="str">
        <f>IF(ISBLANK('1.入力表'!D47)," ",'1.入力表'!P47)</f>
        <v xml:space="preserve"> </v>
      </c>
      <c r="N34" s="645" t="str">
        <f>'6.償却資産明細書'!Q48</f>
        <v/>
      </c>
      <c r="O34" s="593" t="str">
        <f>IF(ISBLANK('1.入力表'!D47)," ",(IF(ISBLANK('6.償却資産明細書'!E49),K34-M34,K34-M34-N34)))</f>
        <v xml:space="preserve"> </v>
      </c>
      <c r="Q34" s="652"/>
    </row>
    <row r="35" spans="1:17" s="579" customFormat="1" ht="26.25" customHeight="1">
      <c r="A35" s="583" t="str">
        <f>IF(ISBLANK('1.入力表'!D48)," ",'1.入力表'!D48)</f>
        <v xml:space="preserve"> </v>
      </c>
      <c r="B35" s="594" t="str">
        <f>IF(ISBLANK('1.入力表'!G48)," ",'1.入力表'!G48)</f>
        <v xml:space="preserve"> </v>
      </c>
      <c r="C35" s="604" t="str">
        <f>IF(ISBLANK('1.入力表'!D48)," ",'1.入力表'!M48)</f>
        <v xml:space="preserve"> </v>
      </c>
      <c r="D35" s="614" t="str">
        <f>IF(ISBLANK('1.入力表'!D48)," ",'1.入力表'!S48)</f>
        <v xml:space="preserve"> </v>
      </c>
      <c r="E35" s="604" t="str">
        <f>IF(ISBLANK('1.入力表'!D48)," ",B35+C35)</f>
        <v xml:space="preserve"> </v>
      </c>
      <c r="F35" s="614" t="str">
        <f t="shared" si="0"/>
        <v xml:space="preserve"> </v>
      </c>
      <c r="G35" s="624"/>
      <c r="H35" s="624"/>
      <c r="I35" s="604" t="str">
        <f t="shared" si="2"/>
        <v xml:space="preserve"> </v>
      </c>
      <c r="J35" s="634" t="str">
        <f>IF(ISBLANK('1.入力表'!D48)," ",'1.入力表'!H48)</f>
        <v xml:space="preserve"> </v>
      </c>
      <c r="K35" s="614" t="str">
        <f>IF(ISBLANK('1.入力表'!D48)," ",I35+J35)</f>
        <v xml:space="preserve"> </v>
      </c>
      <c r="L35" s="604" t="str">
        <f>IF(ISBLANK('1.入力表'!D48)," ",'1.入力表'!R48)</f>
        <v xml:space="preserve"> </v>
      </c>
      <c r="M35" s="614" t="str">
        <f>IF(ISBLANK('1.入力表'!D48)," ",'1.入力表'!P48)</f>
        <v xml:space="preserve"> </v>
      </c>
      <c r="N35" s="646" t="str">
        <f>'6.償却資産明細書'!Q49</f>
        <v/>
      </c>
      <c r="O35" s="594" t="str">
        <f>IF(ISBLANK('1.入力表'!D48)," ",(IF(ISBLANK('6.償却資産明細書'!E50),K35-M35,K35-M35-N35)))</f>
        <v xml:space="preserve"> </v>
      </c>
      <c r="Q35" s="652"/>
    </row>
    <row r="36" spans="1:17" s="579" customFormat="1" ht="26.25" customHeight="1">
      <c r="A36" s="583" t="str">
        <f>IF(ISBLANK('1.入力表'!D49)," ",'1.入力表'!D49)</f>
        <v xml:space="preserve"> </v>
      </c>
      <c r="B36" s="593" t="str">
        <f>IF(ISBLANK('1.入力表'!G49)," ",'1.入力表'!G49)</f>
        <v xml:space="preserve"> </v>
      </c>
      <c r="C36" s="604" t="str">
        <f>IF(ISBLANK('1.入力表'!D49)," ",'1.入力表'!M49)</f>
        <v xml:space="preserve"> </v>
      </c>
      <c r="D36" s="614" t="str">
        <f>IF(ISBLANK('1.入力表'!D49)," ",'1.入力表'!S49)</f>
        <v xml:space="preserve"> </v>
      </c>
      <c r="E36" s="604" t="str">
        <f>IF(ISBLANK('1.入力表'!D49)," ",B36+C36)</f>
        <v xml:space="preserve"> </v>
      </c>
      <c r="F36" s="614" t="str">
        <f t="shared" si="0"/>
        <v xml:space="preserve"> </v>
      </c>
      <c r="G36" s="624"/>
      <c r="H36" s="624"/>
      <c r="I36" s="604" t="str">
        <f t="shared" si="2"/>
        <v xml:space="preserve"> </v>
      </c>
      <c r="J36" s="634" t="str">
        <f>IF(ISBLANK('1.入力表'!D49)," ",'1.入力表'!H49)</f>
        <v xml:space="preserve"> </v>
      </c>
      <c r="K36" s="614" t="str">
        <f>IF(ISBLANK('1.入力表'!D49)," ",I36+J36)</f>
        <v xml:space="preserve"> </v>
      </c>
      <c r="L36" s="604" t="str">
        <f>IF(ISBLANK('1.入力表'!D49)," ",'1.入力表'!R49)</f>
        <v xml:space="preserve"> </v>
      </c>
      <c r="M36" s="614" t="str">
        <f>IF(ISBLANK('1.入力表'!D49)," ",'1.入力表'!P49)</f>
        <v xml:space="preserve"> </v>
      </c>
      <c r="N36" s="646" t="str">
        <f>'6.償却資産明細書'!Q50</f>
        <v/>
      </c>
      <c r="O36" s="594" t="str">
        <f>IF(ISBLANK('1.入力表'!D49)," ",(IF(ISBLANK('6.償却資産明細書'!E51),K36-M36,K36-M36-N36)))</f>
        <v xml:space="preserve"> </v>
      </c>
      <c r="Q36" s="652"/>
    </row>
    <row r="37" spans="1:17" s="579" customFormat="1" ht="26.25" customHeight="1">
      <c r="A37" s="584" t="str">
        <f>IF(ISBLANK('1.入力表'!D50)," ",'1.入力表'!D50)</f>
        <v xml:space="preserve"> </v>
      </c>
      <c r="B37" s="594" t="str">
        <f>IF(ISBLANK('1.入力表'!G50)," ",'1.入力表'!G50)</f>
        <v xml:space="preserve"> </v>
      </c>
      <c r="C37" s="604" t="str">
        <f>IF(ISBLANK('1.入力表'!D50)," ",'1.入力表'!M50)</f>
        <v xml:space="preserve"> </v>
      </c>
      <c r="D37" s="614" t="str">
        <f>IF(ISBLANK('1.入力表'!D50)," ",'1.入力表'!S50)</f>
        <v xml:space="preserve"> </v>
      </c>
      <c r="E37" s="604" t="str">
        <f>IF(ISBLANK('1.入力表'!D50)," ",B37+C37)</f>
        <v xml:space="preserve"> </v>
      </c>
      <c r="F37" s="614" t="str">
        <f t="shared" si="0"/>
        <v xml:space="preserve"> </v>
      </c>
      <c r="G37" s="624"/>
      <c r="H37" s="624"/>
      <c r="I37" s="604" t="str">
        <f t="shared" si="2"/>
        <v xml:space="preserve"> </v>
      </c>
      <c r="J37" s="634" t="str">
        <f>IF(ISBLANK('1.入力表'!D50)," ",'1.入力表'!H50)</f>
        <v xml:space="preserve"> </v>
      </c>
      <c r="K37" s="614" t="str">
        <f>IF(ISBLANK('1.入力表'!D50)," ",I37+J37)</f>
        <v xml:space="preserve"> </v>
      </c>
      <c r="L37" s="604" t="str">
        <f>IF(ISBLANK('1.入力表'!D50)," ",'1.入力表'!R50)</f>
        <v xml:space="preserve"> </v>
      </c>
      <c r="M37" s="614" t="str">
        <f>IF(ISBLANK('1.入力表'!D50)," ",'1.入力表'!P50)</f>
        <v xml:space="preserve"> </v>
      </c>
      <c r="N37" s="646" t="str">
        <f>'6.償却資産明細書'!Q51</f>
        <v/>
      </c>
      <c r="O37" s="594" t="str">
        <f>IF(ISBLANK('1.入力表'!D50)," ",(IF(ISBLANK('6.償却資産明細書'!E52),K37-M37,K37-M37-N37)))</f>
        <v xml:space="preserve"> </v>
      </c>
      <c r="Q37" s="652"/>
    </row>
    <row r="38" spans="1:17" s="579" customFormat="1" ht="26.25" customHeight="1">
      <c r="A38" s="584" t="str">
        <f>IF(ISBLANK('1.入力表'!D51)," ",'1.入力表'!D51)</f>
        <v xml:space="preserve"> </v>
      </c>
      <c r="B38" s="594" t="str">
        <f>IF(ISBLANK('1.入力表'!G51)," ",'1.入力表'!G51)</f>
        <v xml:space="preserve"> </v>
      </c>
      <c r="C38" s="604" t="str">
        <f>IF(ISBLANK('1.入力表'!D51)," ",'1.入力表'!M51)</f>
        <v xml:space="preserve"> </v>
      </c>
      <c r="D38" s="614" t="str">
        <f>IF(ISBLANK('1.入力表'!D51)," ",'1.入力表'!S51)</f>
        <v xml:space="preserve"> </v>
      </c>
      <c r="E38" s="604" t="str">
        <f>IF(ISBLANK('1.入力表'!D51)," ",B38+C38)</f>
        <v xml:space="preserve"> </v>
      </c>
      <c r="F38" s="614" t="str">
        <f t="shared" si="0"/>
        <v xml:space="preserve"> </v>
      </c>
      <c r="G38" s="624"/>
      <c r="H38" s="624"/>
      <c r="I38" s="604" t="str">
        <f t="shared" si="2"/>
        <v xml:space="preserve"> </v>
      </c>
      <c r="J38" s="634" t="str">
        <f>IF(ISBLANK('1.入力表'!D51)," ",'1.入力表'!H51)</f>
        <v xml:space="preserve"> </v>
      </c>
      <c r="K38" s="614" t="str">
        <f>IF(ISBLANK('1.入力表'!D51)," ",I38+J38)</f>
        <v xml:space="preserve"> </v>
      </c>
      <c r="L38" s="604" t="str">
        <f>IF(ISBLANK('1.入力表'!D51)," ",'1.入力表'!R51)</f>
        <v xml:space="preserve"> </v>
      </c>
      <c r="M38" s="614" t="str">
        <f>IF(ISBLANK('1.入力表'!D51)," ",'1.入力表'!P51)</f>
        <v xml:space="preserve"> </v>
      </c>
      <c r="N38" s="646" t="str">
        <f>'6.償却資産明細書'!Q52</f>
        <v/>
      </c>
      <c r="O38" s="594" t="str">
        <f>IF(ISBLANK('1.入力表'!D51)," ",(IF(ISBLANK('6.償却資産明細書'!E53),K38-M38,K38-M38-N38)))</f>
        <v xml:space="preserve"> </v>
      </c>
      <c r="Q38" s="652"/>
    </row>
    <row r="39" spans="1:17" s="579" customFormat="1" ht="26.25" customHeight="1">
      <c r="A39" s="584" t="str">
        <f>IF(ISBLANK('1.入力表'!D52)," ",'1.入力表'!D52)</f>
        <v xml:space="preserve"> </v>
      </c>
      <c r="B39" s="594" t="str">
        <f>IF(ISBLANK('1.入力表'!G52)," ",'1.入力表'!G52)</f>
        <v xml:space="preserve"> </v>
      </c>
      <c r="C39" s="604" t="str">
        <f>IF(ISBLANK('1.入力表'!D52)," ",'1.入力表'!M52)</f>
        <v xml:space="preserve"> </v>
      </c>
      <c r="D39" s="614" t="str">
        <f>IF(ISBLANK('1.入力表'!D52)," ",'1.入力表'!S52)</f>
        <v xml:space="preserve"> </v>
      </c>
      <c r="E39" s="604" t="str">
        <f>IF(ISBLANK('1.入力表'!D52)," ",B39+C39)</f>
        <v xml:space="preserve"> </v>
      </c>
      <c r="F39" s="614" t="str">
        <f t="shared" si="0"/>
        <v xml:space="preserve"> </v>
      </c>
      <c r="G39" s="624"/>
      <c r="H39" s="624"/>
      <c r="I39" s="604" t="str">
        <f t="shared" si="2"/>
        <v xml:space="preserve"> </v>
      </c>
      <c r="J39" s="634" t="str">
        <f>IF(ISBLANK('1.入力表'!D52)," ",'1.入力表'!H52)</f>
        <v xml:space="preserve"> </v>
      </c>
      <c r="K39" s="614" t="str">
        <f>IF(ISBLANK('1.入力表'!D52)," ",I39+J39)</f>
        <v xml:space="preserve"> </v>
      </c>
      <c r="L39" s="604" t="str">
        <f>IF(ISBLANK('1.入力表'!D52)," ",'1.入力表'!R52)</f>
        <v xml:space="preserve"> </v>
      </c>
      <c r="M39" s="614" t="str">
        <f>IF(ISBLANK('1.入力表'!D52)," ",'1.入力表'!P52)</f>
        <v xml:space="preserve"> </v>
      </c>
      <c r="N39" s="646" t="str">
        <f>'6.償却資産明細書'!Q53</f>
        <v/>
      </c>
      <c r="O39" s="594" t="str">
        <f>IF(ISBLANK('1.入力表'!D52)," ",(IF(ISBLANK('6.償却資産明細書'!E54),K39-M39,K39-M39-N39)))</f>
        <v xml:space="preserve"> </v>
      </c>
      <c r="Q39" s="652"/>
    </row>
    <row r="40" spans="1:17" s="579" customFormat="1" ht="26.25" customHeight="1">
      <c r="A40" s="584" t="str">
        <f>IF(ISBLANK('1.入力表'!D53)," ",'1.入力表'!D53)</f>
        <v xml:space="preserve"> </v>
      </c>
      <c r="B40" s="594" t="str">
        <f>IF(ISBLANK('1.入力表'!G53)," ",'1.入力表'!G53)</f>
        <v xml:space="preserve"> </v>
      </c>
      <c r="C40" s="604" t="str">
        <f>IF(ISBLANK('1.入力表'!D53)," ",'1.入力表'!M53)</f>
        <v xml:space="preserve"> </v>
      </c>
      <c r="D40" s="614" t="str">
        <f>IF(ISBLANK('1.入力表'!D53)," ",'1.入力表'!S53)</f>
        <v xml:space="preserve"> </v>
      </c>
      <c r="E40" s="604" t="str">
        <f>IF(ISBLANK('1.入力表'!D53)," ",B40+C40)</f>
        <v xml:space="preserve"> </v>
      </c>
      <c r="F40" s="614" t="str">
        <f t="shared" si="0"/>
        <v xml:space="preserve"> </v>
      </c>
      <c r="G40" s="624"/>
      <c r="H40" s="624"/>
      <c r="I40" s="604" t="str">
        <f t="shared" si="2"/>
        <v xml:space="preserve"> </v>
      </c>
      <c r="J40" s="634" t="str">
        <f>IF(ISBLANK('1.入力表'!D53)," ",'1.入力表'!H53)</f>
        <v xml:space="preserve"> </v>
      </c>
      <c r="K40" s="614" t="str">
        <f>IF(ISBLANK('1.入力表'!D53)," ",I40+J40)</f>
        <v xml:space="preserve"> </v>
      </c>
      <c r="L40" s="604" t="str">
        <f>IF(ISBLANK('1.入力表'!D53)," ",'1.入力表'!R53)</f>
        <v xml:space="preserve"> </v>
      </c>
      <c r="M40" s="614" t="str">
        <f>IF(ISBLANK('1.入力表'!D53)," ",'1.入力表'!P53)</f>
        <v xml:space="preserve"> </v>
      </c>
      <c r="N40" s="646" t="str">
        <f>'6.償却資産明細書'!Q54</f>
        <v/>
      </c>
      <c r="O40" s="594" t="str">
        <f>IF(ISBLANK('1.入力表'!D53)," ",(IF(ISBLANK('6.償却資産明細書'!E55),K40-M40,K40-M40-N40)))</f>
        <v xml:space="preserve"> </v>
      </c>
      <c r="Q40" s="652"/>
    </row>
    <row r="41" spans="1:17" s="579" customFormat="1" ht="26.25" customHeight="1">
      <c r="A41" s="584" t="str">
        <f>IF(ISBLANK('1.入力表'!D54)," ",'1.入力表'!D54)</f>
        <v xml:space="preserve"> </v>
      </c>
      <c r="B41" s="594" t="str">
        <f>IF(ISBLANK('1.入力表'!G54)," ",'1.入力表'!G54)</f>
        <v xml:space="preserve"> </v>
      </c>
      <c r="C41" s="604" t="str">
        <f>IF(ISBLANK('1.入力表'!D54)," ",'1.入力表'!M54)</f>
        <v xml:space="preserve"> </v>
      </c>
      <c r="D41" s="614" t="str">
        <f>IF(ISBLANK('1.入力表'!D54)," ",'1.入力表'!S54)</f>
        <v xml:space="preserve"> </v>
      </c>
      <c r="E41" s="604" t="str">
        <f>IF(ISBLANK('1.入力表'!D54)," ",B41+C41)</f>
        <v xml:space="preserve"> </v>
      </c>
      <c r="F41" s="614" t="str">
        <f t="shared" si="0"/>
        <v xml:space="preserve"> </v>
      </c>
      <c r="G41" s="624"/>
      <c r="H41" s="624"/>
      <c r="I41" s="604" t="str">
        <f t="shared" si="2"/>
        <v xml:space="preserve"> </v>
      </c>
      <c r="J41" s="634" t="str">
        <f>IF(ISBLANK('1.入力表'!D54)," ",'1.入力表'!H54)</f>
        <v xml:space="preserve"> </v>
      </c>
      <c r="K41" s="614" t="str">
        <f>IF(ISBLANK('1.入力表'!D54)," ",I41+J41)</f>
        <v xml:space="preserve"> </v>
      </c>
      <c r="L41" s="604" t="str">
        <f>IF(ISBLANK('1.入力表'!D54)," ",'1.入力表'!R54)</f>
        <v xml:space="preserve"> </v>
      </c>
      <c r="M41" s="614" t="str">
        <f>IF(ISBLANK('1.入力表'!D54)," ",'1.入力表'!P54)</f>
        <v xml:space="preserve"> </v>
      </c>
      <c r="N41" s="646" t="str">
        <f>'6.償却資産明細書'!Q55</f>
        <v/>
      </c>
      <c r="O41" s="594" t="str">
        <f>IF(ISBLANK('1.入力表'!D54)," ",(IF(ISBLANK('6.償却資産明細書'!E56),K41-M41,K41-M41-N41)))</f>
        <v xml:space="preserve"> </v>
      </c>
      <c r="Q41" s="652"/>
    </row>
    <row r="42" spans="1:17" s="579" customFormat="1" ht="26.25" customHeight="1">
      <c r="A42" s="584" t="str">
        <f>IF(ISBLANK('1.入力表'!D55)," ",'1.入力表'!D55)</f>
        <v xml:space="preserve"> </v>
      </c>
      <c r="B42" s="594" t="str">
        <f>IF(ISBLANK('1.入力表'!G55)," ",'1.入力表'!G55)</f>
        <v xml:space="preserve"> </v>
      </c>
      <c r="C42" s="604" t="str">
        <f>IF(ISBLANK('1.入力表'!D55)," ",'1.入力表'!M55)</f>
        <v xml:space="preserve"> </v>
      </c>
      <c r="D42" s="614" t="str">
        <f>IF(ISBLANK('1.入力表'!D55)," ",'1.入力表'!S55)</f>
        <v xml:space="preserve"> </v>
      </c>
      <c r="E42" s="604" t="str">
        <f>IF(ISBLANK('1.入力表'!D55)," ",B42+C42)</f>
        <v xml:space="preserve"> </v>
      </c>
      <c r="F42" s="614" t="str">
        <f t="shared" si="0"/>
        <v xml:space="preserve"> </v>
      </c>
      <c r="G42" s="624"/>
      <c r="H42" s="624"/>
      <c r="I42" s="604" t="str">
        <f t="shared" si="2"/>
        <v xml:space="preserve"> </v>
      </c>
      <c r="J42" s="634" t="str">
        <f>IF(ISBLANK('1.入力表'!D55)," ",'1.入力表'!H55)</f>
        <v xml:space="preserve"> </v>
      </c>
      <c r="K42" s="614" t="str">
        <f>IF(ISBLANK('1.入力表'!D55)," ",I42+J42)</f>
        <v xml:space="preserve"> </v>
      </c>
      <c r="L42" s="604" t="str">
        <f>IF(ISBLANK('1.入力表'!D55)," ",'1.入力表'!R55)</f>
        <v xml:space="preserve"> </v>
      </c>
      <c r="M42" s="614" t="str">
        <f>IF(ISBLANK('1.入力表'!D55)," ",'1.入力表'!P55)</f>
        <v xml:space="preserve"> </v>
      </c>
      <c r="N42" s="646" t="str">
        <f>'6.償却資産明細書'!Q56</f>
        <v/>
      </c>
      <c r="O42" s="594" t="str">
        <f>IF(ISBLANK('1.入力表'!D55)," ",(IF(ISBLANK('6.償却資産明細書'!E57),K42-M42,K42-M42-N42)))</f>
        <v xml:space="preserve"> </v>
      </c>
      <c r="Q42" s="652"/>
    </row>
    <row r="43" spans="1:17" s="579" customFormat="1" ht="26.25" customHeight="1">
      <c r="A43" s="584" t="str">
        <f>IF(ISBLANK('1.入力表'!D56)," ",'1.入力表'!D56)</f>
        <v xml:space="preserve"> </v>
      </c>
      <c r="B43" s="594" t="str">
        <f>IF(ISBLANK('1.入力表'!G56)," ",'1.入力表'!G56)</f>
        <v xml:space="preserve"> </v>
      </c>
      <c r="C43" s="604" t="str">
        <f>IF(ISBLANK('1.入力表'!D56)," ",'1.入力表'!M56)</f>
        <v xml:space="preserve"> </v>
      </c>
      <c r="D43" s="614" t="str">
        <f>IF(ISBLANK('1.入力表'!D56)," ",'1.入力表'!S56)</f>
        <v xml:space="preserve"> </v>
      </c>
      <c r="E43" s="604" t="str">
        <f>IF(ISBLANK('1.入力表'!D56)," ",B43+C43)</f>
        <v xml:space="preserve"> </v>
      </c>
      <c r="F43" s="614" t="str">
        <f t="shared" si="0"/>
        <v xml:space="preserve"> </v>
      </c>
      <c r="G43" s="624"/>
      <c r="H43" s="624"/>
      <c r="I43" s="604" t="str">
        <f t="shared" si="2"/>
        <v xml:space="preserve"> </v>
      </c>
      <c r="J43" s="634" t="str">
        <f>IF(ISBLANK('1.入力表'!D56)," ",'1.入力表'!H56)</f>
        <v xml:space="preserve"> </v>
      </c>
      <c r="K43" s="614" t="str">
        <f>IF(ISBLANK('1.入力表'!D56)," ",I43+J43)</f>
        <v xml:space="preserve"> </v>
      </c>
      <c r="L43" s="604" t="str">
        <f>IF(ISBLANK('1.入力表'!D56)," ",'1.入力表'!R56)</f>
        <v xml:space="preserve"> </v>
      </c>
      <c r="M43" s="614" t="str">
        <f>IF(ISBLANK('1.入力表'!D56)," ",'1.入力表'!P56)</f>
        <v xml:space="preserve"> </v>
      </c>
      <c r="N43" s="646" t="str">
        <f>'6.償却資産明細書'!Q57</f>
        <v/>
      </c>
      <c r="O43" s="594" t="str">
        <f>IF(ISBLANK('1.入力表'!D56)," ",(IF(ISBLANK('6.償却資産明細書'!E58),K43-M43,K43-M43-N43)))</f>
        <v xml:space="preserve"> </v>
      </c>
      <c r="Q43" s="652"/>
    </row>
    <row r="44" spans="1:17" s="579" customFormat="1" ht="26.25" customHeight="1">
      <c r="A44" s="584" t="str">
        <f>IF(ISBLANK('1.入力表'!D57)," ",'1.入力表'!D57)</f>
        <v xml:space="preserve"> </v>
      </c>
      <c r="B44" s="594" t="str">
        <f>IF(ISBLANK('1.入力表'!G57)," ",'1.入力表'!G57)</f>
        <v xml:space="preserve"> </v>
      </c>
      <c r="C44" s="604" t="str">
        <f>IF(ISBLANK('1.入力表'!D57)," ",'1.入力表'!M57)</f>
        <v xml:space="preserve"> </v>
      </c>
      <c r="D44" s="614" t="str">
        <f>IF(ISBLANK('1.入力表'!D57)," ",'1.入力表'!S57)</f>
        <v xml:space="preserve"> </v>
      </c>
      <c r="E44" s="604" t="str">
        <f>IF(ISBLANK('1.入力表'!D57)," ",B44+C44)</f>
        <v xml:space="preserve"> </v>
      </c>
      <c r="F44" s="614" t="str">
        <f t="shared" si="0"/>
        <v xml:space="preserve"> </v>
      </c>
      <c r="G44" s="624"/>
      <c r="H44" s="624"/>
      <c r="I44" s="604" t="str">
        <f t="shared" si="2"/>
        <v xml:space="preserve"> </v>
      </c>
      <c r="J44" s="634" t="str">
        <f>IF(ISBLANK('1.入力表'!D57)," ",'1.入力表'!H57)</f>
        <v xml:space="preserve"> </v>
      </c>
      <c r="K44" s="614" t="str">
        <f>IF(ISBLANK('1.入力表'!D57)," ",I44+J44)</f>
        <v xml:space="preserve"> </v>
      </c>
      <c r="L44" s="604" t="str">
        <f>IF(ISBLANK('1.入力表'!D57)," ",'1.入力表'!R57)</f>
        <v xml:space="preserve"> </v>
      </c>
      <c r="M44" s="614" t="str">
        <f>IF(ISBLANK('1.入力表'!D57)," ",'1.入力表'!P57)</f>
        <v xml:space="preserve"> </v>
      </c>
      <c r="N44" s="646" t="str">
        <f>'6.償却資産明細書'!Q58</f>
        <v/>
      </c>
      <c r="O44" s="594" t="str">
        <f>IF(ISBLANK('1.入力表'!D57)," ",(IF(ISBLANK('6.償却資産明細書'!E59),K44-M44,K44-M44-N44)))</f>
        <v xml:space="preserve"> </v>
      </c>
      <c r="Q44" s="652"/>
    </row>
    <row r="45" spans="1:17" s="579" customFormat="1" ht="26.25" customHeight="1">
      <c r="A45" s="584" t="str">
        <f>IF(ISBLANK('1.入力表'!D58)," ",'1.入力表'!D58)</f>
        <v xml:space="preserve"> </v>
      </c>
      <c r="B45" s="594" t="str">
        <f>IF(ISBLANK('1.入力表'!G58)," ",'1.入力表'!G58)</f>
        <v xml:space="preserve"> </v>
      </c>
      <c r="C45" s="604" t="str">
        <f>IF(ISBLANK('1.入力表'!D58)," ",'1.入力表'!M58)</f>
        <v xml:space="preserve"> </v>
      </c>
      <c r="D45" s="614" t="str">
        <f>IF(ISBLANK('1.入力表'!D58)," ",'1.入力表'!S58)</f>
        <v xml:space="preserve"> </v>
      </c>
      <c r="E45" s="604" t="str">
        <f>IF(ISBLANK('1.入力表'!D58)," ",B45+C45)</f>
        <v xml:space="preserve"> </v>
      </c>
      <c r="F45" s="614" t="str">
        <f t="shared" si="0"/>
        <v xml:space="preserve"> </v>
      </c>
      <c r="G45" s="624"/>
      <c r="H45" s="624"/>
      <c r="I45" s="604" t="str">
        <f t="shared" si="2"/>
        <v xml:space="preserve"> </v>
      </c>
      <c r="J45" s="634" t="str">
        <f>IF(ISBLANK('1.入力表'!D58)," ",'1.入力表'!H58)</f>
        <v xml:space="preserve"> </v>
      </c>
      <c r="K45" s="614" t="str">
        <f>IF(ISBLANK('1.入力表'!D58)," ",I45+J45)</f>
        <v xml:space="preserve"> </v>
      </c>
      <c r="L45" s="604" t="str">
        <f>IF(ISBLANK('1.入力表'!D58)," ",'1.入力表'!R58)</f>
        <v xml:space="preserve"> </v>
      </c>
      <c r="M45" s="614" t="str">
        <f>IF(ISBLANK('1.入力表'!D58)," ",'1.入力表'!P58)</f>
        <v xml:space="preserve"> </v>
      </c>
      <c r="N45" s="646" t="str">
        <f>'6.償却資産明細書'!Q59</f>
        <v/>
      </c>
      <c r="O45" s="594" t="str">
        <f>IF(ISBLANK('1.入力表'!D58)," ",(IF(ISBLANK('6.償却資産明細書'!E60),K45-M45,K45-M45-N45)))</f>
        <v xml:space="preserve"> </v>
      </c>
      <c r="Q45" s="652"/>
    </row>
    <row r="46" spans="1:17" s="579" customFormat="1" ht="26.25" customHeight="1">
      <c r="A46" s="584" t="str">
        <f>IF(ISBLANK('1.入力表'!D59)," ",'1.入力表'!D59)</f>
        <v xml:space="preserve"> </v>
      </c>
      <c r="B46" s="594" t="str">
        <f>IF(ISBLANK('1.入力表'!G59)," ",'1.入力表'!G59)</f>
        <v xml:space="preserve"> </v>
      </c>
      <c r="C46" s="604" t="str">
        <f>IF(ISBLANK('1.入力表'!D59)," ",'1.入力表'!M59)</f>
        <v xml:space="preserve"> </v>
      </c>
      <c r="D46" s="614" t="str">
        <f>IF(ISBLANK('1.入力表'!D59)," ",'1.入力表'!S59)</f>
        <v xml:space="preserve"> </v>
      </c>
      <c r="E46" s="604" t="str">
        <f>IF(ISBLANK('1.入力表'!D59)," ",B46+C46)</f>
        <v xml:space="preserve"> </v>
      </c>
      <c r="F46" s="614" t="str">
        <f t="shared" si="0"/>
        <v xml:space="preserve"> </v>
      </c>
      <c r="G46" s="624"/>
      <c r="H46" s="624"/>
      <c r="I46" s="604" t="str">
        <f t="shared" si="2"/>
        <v xml:space="preserve"> </v>
      </c>
      <c r="J46" s="634" t="str">
        <f>IF(ISBLANK('1.入力表'!D59)," ",'1.入力表'!H59)</f>
        <v xml:space="preserve"> </v>
      </c>
      <c r="K46" s="614" t="str">
        <f>IF(ISBLANK('1.入力表'!D59)," ",I46+J46)</f>
        <v xml:space="preserve"> </v>
      </c>
      <c r="L46" s="604" t="str">
        <f>IF(ISBLANK('1.入力表'!D59)," ",'1.入力表'!R59)</f>
        <v xml:space="preserve"> </v>
      </c>
      <c r="M46" s="614" t="str">
        <f>IF(ISBLANK('1.入力表'!D59)," ",'1.入力表'!P59)</f>
        <v xml:space="preserve"> </v>
      </c>
      <c r="N46" s="646" t="str">
        <f>'6.償却資産明細書'!Q60</f>
        <v/>
      </c>
      <c r="O46" s="594" t="str">
        <f>IF(ISBLANK('1.入力表'!D59)," ",(IF(ISBLANK('6.償却資産明細書'!E61),K46-M46,K46-M46-N46)))</f>
        <v xml:space="preserve"> </v>
      </c>
      <c r="Q46" s="652"/>
    </row>
    <row r="47" spans="1:17" s="579" customFormat="1" ht="26.25" customHeight="1">
      <c r="A47" s="584" t="str">
        <f>IF(ISBLANK('1.入力表'!D60)," ",'1.入力表'!D60)</f>
        <v xml:space="preserve"> </v>
      </c>
      <c r="B47" s="594" t="str">
        <f>IF(ISBLANK('1.入力表'!G60)," ",'1.入力表'!G60)</f>
        <v xml:space="preserve"> </v>
      </c>
      <c r="C47" s="604" t="str">
        <f>IF(ISBLANK('1.入力表'!D60)," ",'1.入力表'!M60)</f>
        <v xml:space="preserve"> </v>
      </c>
      <c r="D47" s="614" t="str">
        <f>IF(ISBLANK('1.入力表'!D60)," ",'1.入力表'!S60)</f>
        <v xml:space="preserve"> </v>
      </c>
      <c r="E47" s="604" t="str">
        <f>IF(ISBLANK('1.入力表'!D60)," ",B47+C47)</f>
        <v xml:space="preserve"> </v>
      </c>
      <c r="F47" s="614" t="str">
        <f t="shared" si="0"/>
        <v xml:space="preserve"> </v>
      </c>
      <c r="G47" s="624"/>
      <c r="H47" s="624"/>
      <c r="I47" s="604" t="str">
        <f t="shared" si="2"/>
        <v xml:space="preserve"> </v>
      </c>
      <c r="J47" s="634" t="str">
        <f>IF(ISBLANK('1.入力表'!D60)," ",'1.入力表'!H60)</f>
        <v xml:space="preserve"> </v>
      </c>
      <c r="K47" s="614" t="str">
        <f>IF(ISBLANK('1.入力表'!D60)," ",I47+J47)</f>
        <v xml:space="preserve"> </v>
      </c>
      <c r="L47" s="604" t="str">
        <f>IF(ISBLANK('1.入力表'!D60)," ",'1.入力表'!R60)</f>
        <v xml:space="preserve"> </v>
      </c>
      <c r="M47" s="614" t="str">
        <f>IF(ISBLANK('1.入力表'!D60)," ",'1.入力表'!P60)</f>
        <v xml:space="preserve"> </v>
      </c>
      <c r="N47" s="646" t="str">
        <f>'6.償却資産明細書'!Q61</f>
        <v/>
      </c>
      <c r="O47" s="594" t="str">
        <f>IF(ISBLANK('1.入力表'!D60)," ",(IF(ISBLANK('6.償却資産明細書'!E62),K47-M47,K47-M47-N47)))</f>
        <v xml:space="preserve"> </v>
      </c>
      <c r="Q47" s="652"/>
    </row>
    <row r="48" spans="1:17" s="579" customFormat="1" ht="26.25" customHeight="1">
      <c r="A48" s="584" t="str">
        <f>IF(ISBLANK('1.入力表'!D61)," ",'1.入力表'!D61)</f>
        <v xml:space="preserve"> </v>
      </c>
      <c r="B48" s="594" t="str">
        <f>IF(ISBLANK('1.入力表'!G61)," ",'1.入力表'!G61)</f>
        <v xml:space="preserve"> </v>
      </c>
      <c r="C48" s="604" t="str">
        <f>IF(ISBLANK('1.入力表'!D61)," ",'1.入力表'!M61)</f>
        <v xml:space="preserve"> </v>
      </c>
      <c r="D48" s="614" t="str">
        <f>IF(ISBLANK('1.入力表'!D61)," ",'1.入力表'!S61)</f>
        <v xml:space="preserve"> </v>
      </c>
      <c r="E48" s="604" t="str">
        <f>IF(ISBLANK('1.入力表'!D61)," ",B48+C48)</f>
        <v xml:space="preserve"> </v>
      </c>
      <c r="F48" s="614" t="str">
        <f t="shared" si="0"/>
        <v xml:space="preserve"> </v>
      </c>
      <c r="G48" s="624"/>
      <c r="H48" s="624"/>
      <c r="I48" s="604" t="str">
        <f t="shared" si="2"/>
        <v xml:space="preserve"> </v>
      </c>
      <c r="J48" s="634" t="str">
        <f>IF(ISBLANK('1.入力表'!D61)," ",'1.入力表'!H61)</f>
        <v xml:space="preserve"> </v>
      </c>
      <c r="K48" s="614" t="str">
        <f>IF(ISBLANK('1.入力表'!D61)," ",I48+J48)</f>
        <v xml:space="preserve"> </v>
      </c>
      <c r="L48" s="604" t="str">
        <f>IF(ISBLANK('1.入力表'!D61)," ",'1.入力表'!R61)</f>
        <v xml:space="preserve"> </v>
      </c>
      <c r="M48" s="614" t="str">
        <f>IF(ISBLANK('1.入力表'!D61)," ",'1.入力表'!P61)</f>
        <v xml:space="preserve"> </v>
      </c>
      <c r="N48" s="646" t="str">
        <f>'6.償却資産明細書'!Q62</f>
        <v/>
      </c>
      <c r="O48" s="594" t="str">
        <f>IF(ISBLANK('1.入力表'!D61)," ",(IF(ISBLANK('6.償却資産明細書'!E63),K48-M48,K48-M48-N48)))</f>
        <v xml:space="preserve"> </v>
      </c>
      <c r="Q48" s="652"/>
    </row>
    <row r="49" spans="1:17" s="579" customFormat="1" ht="26.25" customHeight="1">
      <c r="A49" s="584" t="str">
        <f>IF(ISBLANK('1.入力表'!D62)," ",'1.入力表'!D62)</f>
        <v xml:space="preserve"> </v>
      </c>
      <c r="B49" s="594" t="str">
        <f>IF(ISBLANK('1.入力表'!G62)," ",'1.入力表'!G62)</f>
        <v xml:space="preserve"> </v>
      </c>
      <c r="C49" s="604" t="str">
        <f>IF(ISBLANK('1.入力表'!D62)," ",'1.入力表'!M62)</f>
        <v xml:space="preserve"> </v>
      </c>
      <c r="D49" s="614" t="str">
        <f>IF(ISBLANK('1.入力表'!D62)," ",'1.入力表'!S62)</f>
        <v xml:space="preserve"> </v>
      </c>
      <c r="E49" s="604" t="str">
        <f>IF(ISBLANK('1.入力表'!D62)," ",B49+C49)</f>
        <v xml:space="preserve"> </v>
      </c>
      <c r="F49" s="614" t="str">
        <f t="shared" si="0"/>
        <v xml:space="preserve"> </v>
      </c>
      <c r="G49" s="624"/>
      <c r="H49" s="624"/>
      <c r="I49" s="604" t="str">
        <f t="shared" si="2"/>
        <v xml:space="preserve"> </v>
      </c>
      <c r="J49" s="634" t="str">
        <f>IF(ISBLANK('1.入力表'!D62)," ",'1.入力表'!H62)</f>
        <v xml:space="preserve"> </v>
      </c>
      <c r="K49" s="614" t="str">
        <f>IF(ISBLANK('1.入力表'!D62)," ",I49+J49)</f>
        <v xml:space="preserve"> </v>
      </c>
      <c r="L49" s="604" t="str">
        <f>IF(ISBLANK('1.入力表'!D62)," ",'1.入力表'!R62)</f>
        <v xml:space="preserve"> </v>
      </c>
      <c r="M49" s="614" t="str">
        <f>IF(ISBLANK('1.入力表'!D62)," ",'1.入力表'!P62)</f>
        <v xml:space="preserve"> </v>
      </c>
      <c r="N49" s="646" t="str">
        <f>'6.償却資産明細書'!Q63</f>
        <v/>
      </c>
      <c r="O49" s="594" t="str">
        <f>IF(ISBLANK('1.入力表'!D62)," ",(IF(ISBLANK('6.償却資産明細書'!E64),K49-M49,K49-M49-N49)))</f>
        <v xml:space="preserve"> </v>
      </c>
      <c r="Q49" s="652"/>
    </row>
    <row r="50" spans="1:17" s="579" customFormat="1" ht="26.25" customHeight="1">
      <c r="A50" s="584" t="str">
        <f>IF(ISBLANK('1.入力表'!D63)," ",'1.入力表'!D63)</f>
        <v xml:space="preserve"> </v>
      </c>
      <c r="B50" s="594" t="str">
        <f>IF(ISBLANK('1.入力表'!G63)," ",'1.入力表'!G63)</f>
        <v xml:space="preserve"> </v>
      </c>
      <c r="C50" s="604" t="str">
        <f>IF(ISBLANK('1.入力表'!D63)," ",'1.入力表'!M63)</f>
        <v xml:space="preserve"> </v>
      </c>
      <c r="D50" s="614" t="str">
        <f>IF(ISBLANK('1.入力表'!D63)," ",'1.入力表'!S63)</f>
        <v xml:space="preserve"> </v>
      </c>
      <c r="E50" s="604" t="str">
        <f>IF(ISBLANK('1.入力表'!D63)," ",B50+C50)</f>
        <v xml:space="preserve"> </v>
      </c>
      <c r="F50" s="614" t="str">
        <f t="shared" si="0"/>
        <v xml:space="preserve"> </v>
      </c>
      <c r="G50" s="624"/>
      <c r="H50" s="624"/>
      <c r="I50" s="604" t="str">
        <f t="shared" si="2"/>
        <v xml:space="preserve"> </v>
      </c>
      <c r="J50" s="634" t="str">
        <f>IF(ISBLANK('1.入力表'!D63)," ",'1.入力表'!H63)</f>
        <v xml:space="preserve"> </v>
      </c>
      <c r="K50" s="614" t="str">
        <f>IF(ISBLANK('1.入力表'!D63)," ",I50+J50)</f>
        <v xml:space="preserve"> </v>
      </c>
      <c r="L50" s="604" t="str">
        <f>IF(ISBLANK('1.入力表'!D63)," ",'1.入力表'!R63)</f>
        <v xml:space="preserve"> </v>
      </c>
      <c r="M50" s="614" t="str">
        <f>IF(ISBLANK('1.入力表'!D63)," ",'1.入力表'!P63)</f>
        <v xml:space="preserve"> </v>
      </c>
      <c r="N50" s="646" t="str">
        <f>'6.償却資産明細書'!Q64</f>
        <v/>
      </c>
      <c r="O50" s="594" t="str">
        <f>IF(ISBLANK('1.入力表'!D63)," ",(IF(ISBLANK('6.償却資産明細書'!E65),K50-M50,K50-M50-N50)))</f>
        <v xml:space="preserve"> </v>
      </c>
      <c r="Q50" s="652"/>
    </row>
    <row r="51" spans="1:17" s="579" customFormat="1" ht="26.25" customHeight="1">
      <c r="A51" s="584"/>
      <c r="B51" s="594"/>
      <c r="C51" s="604"/>
      <c r="D51" s="614"/>
      <c r="E51" s="604"/>
      <c r="F51" s="614"/>
      <c r="G51" s="624"/>
      <c r="H51" s="624"/>
      <c r="I51" s="604"/>
      <c r="J51" s="634"/>
      <c r="K51" s="614"/>
      <c r="L51" s="604"/>
      <c r="M51" s="614"/>
      <c r="N51" s="646"/>
      <c r="O51" s="594"/>
      <c r="Q51" s="652"/>
    </row>
    <row r="52" spans="1:17" s="579" customFormat="1" ht="26.25" customHeight="1">
      <c r="A52" s="588"/>
      <c r="B52" s="595"/>
      <c r="C52" s="605"/>
      <c r="D52" s="615"/>
      <c r="E52" s="605"/>
      <c r="F52" s="615"/>
      <c r="G52" s="624"/>
      <c r="H52" s="624"/>
      <c r="I52" s="605"/>
      <c r="J52" s="635"/>
      <c r="K52" s="615"/>
      <c r="L52" s="605"/>
      <c r="M52" s="615"/>
      <c r="N52" s="647"/>
      <c r="O52" s="595"/>
      <c r="Q52" s="652"/>
    </row>
    <row r="53" spans="1:17" s="579" customFormat="1" ht="26.25" customHeight="1">
      <c r="A53" s="586" t="s">
        <v>158</v>
      </c>
      <c r="B53" s="598" t="str">
        <f>IF(B33="２枚目",SUM(B5:B32,B34:B52)," ")</f>
        <v xml:space="preserve"> </v>
      </c>
      <c r="C53" s="608" t="str">
        <f>IF(C33="２枚目",SUM(C5:C32,C34:C52)," ")</f>
        <v xml:space="preserve"> </v>
      </c>
      <c r="D53" s="616" t="str">
        <f>IF(D33="２枚目",SUM(D5:D32,D34:D52)," ")</f>
        <v xml:space="preserve"> </v>
      </c>
      <c r="E53" s="619" t="str">
        <f>IF(E33="２枚目",SUM(E5:E32,E34:E52)," ")</f>
        <v xml:space="preserve"> </v>
      </c>
      <c r="F53" s="622" t="str">
        <f>D53</f>
        <v xml:space="preserve"> </v>
      </c>
      <c r="G53" s="624"/>
      <c r="H53" s="624"/>
      <c r="I53" s="629" t="str">
        <f t="shared" ref="I53:O53" si="3">IF(I33="２枚目",SUM(I5:I32,I34:I52)," ")</f>
        <v xml:space="preserve"> </v>
      </c>
      <c r="J53" s="637" t="str">
        <f t="shared" si="3"/>
        <v xml:space="preserve"> </v>
      </c>
      <c r="K53" s="622" t="str">
        <f t="shared" si="3"/>
        <v xml:space="preserve"> </v>
      </c>
      <c r="L53" s="619" t="str">
        <f t="shared" si="3"/>
        <v xml:space="preserve"> </v>
      </c>
      <c r="M53" s="622" t="str">
        <f t="shared" si="3"/>
        <v xml:space="preserve"> </v>
      </c>
      <c r="N53" s="622" t="str">
        <f t="shared" si="3"/>
        <v xml:space="preserve"> </v>
      </c>
      <c r="O53" s="596" t="str">
        <f t="shared" si="3"/>
        <v xml:space="preserve"> </v>
      </c>
      <c r="Q53" s="652"/>
    </row>
    <row r="54" spans="1:17" ht="14.25"/>
  </sheetData>
  <sheetProtection password="DD53" sheet="1"/>
  <mergeCells count="9">
    <mergeCell ref="D1:F1"/>
    <mergeCell ref="I1:K1"/>
    <mergeCell ref="M1:O1"/>
    <mergeCell ref="C2:D2"/>
    <mergeCell ref="E2:F2"/>
    <mergeCell ref="I2:K2"/>
    <mergeCell ref="L2:M2"/>
    <mergeCell ref="A2:A4"/>
    <mergeCell ref="N2:N3"/>
  </mergeCells>
  <phoneticPr fontId="5"/>
  <printOptions horizontalCentered="1"/>
  <pageMargins left="0.39370078740157483" right="0.39370078740157483" top="0.39370078740157483" bottom="0" header="0.11811023622047245" footer="0"/>
  <pageSetup paperSize="9" scale="69" fitToWidth="1" fitToHeight="0" orientation="landscape" usePrinterDefaults="1" r:id="rId1"/>
  <headerFooter alignWithMargins="0">
    <oddHeader>&amp;L別紙1-2&amp;R（確定申告用）</oddHeader>
    <oddFooter>&amp;R&amp;A-&amp;P</oddFooter>
  </headerFooter>
  <rowBreaks count="1" manualBreakCount="1">
    <brk id="3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手順</vt:lpstr>
      <vt:lpstr>【資料1】収支項目</vt:lpstr>
      <vt:lpstr>【資料２】支出費目</vt:lpstr>
      <vt:lpstr>1.入力表</vt:lpstr>
      <vt:lpstr>金銭出納簿</vt:lpstr>
      <vt:lpstr>2.支出明細</vt:lpstr>
      <vt:lpstr>3.別紙1-1（支出明細）</vt:lpstr>
      <vt:lpstr>3.別紙1-1 (金銭出納簿)</vt:lpstr>
      <vt:lpstr>4.別紙1-2</vt:lpstr>
      <vt:lpstr>5.個人配布用</vt:lpstr>
      <vt:lpstr>6.償却資産明細書</vt:lpstr>
      <vt:lpstr>（参考）面積按分率計算ｼｰﾄ</vt:lpstr>
      <vt:lpstr>共同作業日誌</vt:lpstr>
      <vt:lpstr>様式第２号</vt:lpstr>
      <vt:lpstr>別紙１（協定数値）</vt:lpstr>
      <vt:lpstr>別紙２（共同活動実績）</vt:lpstr>
      <vt:lpstr>別紙３　収支決算（３月）</vt:lpstr>
      <vt:lpstr>別紙4（繰越・積立に係る計画）</vt:lpstr>
      <vt:lpstr>体制整備単価報告書</vt:lpstr>
      <vt:lpstr>体制整備単価報告書 (記入例)</vt:lpstr>
      <vt:lpstr>体制整備単価・加算措置活動　活動記録簿</vt:lpstr>
      <vt:lpstr>参考様式１号</vt:lpstr>
      <vt:lpstr>記載例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伯太町役場</dc:creator>
  <cp:lastModifiedBy>松本　典子</cp:lastModifiedBy>
  <cp:lastPrinted>2022-12-20T06:14:54Z</cp:lastPrinted>
  <dcterms:created xsi:type="dcterms:W3CDTF">2001-11-19T01:35:53Z</dcterms:created>
  <dcterms:modified xsi:type="dcterms:W3CDTF">2024-12-13T06:55:36Z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2024-12-13T06:55:36Z</vt:filetime>
  </property>
</Properties>
</file>